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9. 18 เม.ย. 66\"/>
    </mc:Choice>
  </mc:AlternateContent>
  <xr:revisionPtr revIDLastSave="0" documentId="13_ncr:1_{FCE3BDAD-F55B-40A7-87E9-2D89775A96F3}" xr6:coauthVersionLast="45" xr6:coauthVersionMax="45" xr10:uidLastSave="{00000000-0000-0000-0000-000000000000}"/>
  <bookViews>
    <workbookView xWindow="23880" yWindow="-120" windowWidth="24240" windowHeight="13020" xr2:uid="{00000000-000D-0000-FFFF-FFFF00000000}"/>
  </bookViews>
  <sheets>
    <sheet name="S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externalReferences>
    <externalReference r:id="rId1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828" i="15" l="1"/>
  <c r="J828" i="15"/>
  <c r="I828" i="15"/>
  <c r="J827" i="15"/>
  <c r="I827" i="15"/>
  <c r="K827" i="15" s="1"/>
  <c r="K826" i="15"/>
  <c r="J826" i="15"/>
  <c r="I826" i="15"/>
  <c r="J825" i="15"/>
  <c r="I825" i="15"/>
  <c r="K824" i="15"/>
  <c r="J824" i="15"/>
  <c r="I824" i="15"/>
  <c r="J823" i="15"/>
  <c r="I823" i="15"/>
  <c r="K823" i="15" s="1"/>
  <c r="K822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P809" i="15"/>
  <c r="O809" i="15"/>
  <c r="O808" i="15"/>
  <c r="N808" i="15"/>
  <c r="M808" i="15"/>
  <c r="P808" i="15" s="1"/>
  <c r="L808" i="15"/>
  <c r="N807" i="15"/>
  <c r="M807" i="15"/>
  <c r="P807" i="15" s="1"/>
  <c r="L807" i="15"/>
  <c r="O807" i="15" s="1"/>
  <c r="N806" i="15"/>
  <c r="N805" i="15" s="1"/>
  <c r="M806" i="15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P796" i="15"/>
  <c r="O796" i="15"/>
  <c r="N796" i="15"/>
  <c r="M796" i="15"/>
  <c r="L796" i="15"/>
  <c r="P791" i="15"/>
  <c r="O791" i="15"/>
  <c r="N791" i="15"/>
  <c r="L791" i="15"/>
  <c r="P790" i="15"/>
  <c r="O790" i="15"/>
  <c r="O789" i="15"/>
  <c r="N789" i="15"/>
  <c r="M789" i="15"/>
  <c r="P789" i="15" s="1"/>
  <c r="L789" i="15"/>
  <c r="N788" i="15"/>
  <c r="M788" i="15"/>
  <c r="P788" i="15" s="1"/>
  <c r="L788" i="15"/>
  <c r="O788" i="15" s="1"/>
  <c r="N787" i="15"/>
  <c r="M787" i="15"/>
  <c r="L787" i="15"/>
  <c r="O787" i="15" s="1"/>
  <c r="L786" i="15"/>
  <c r="O786" i="15" s="1"/>
  <c r="P782" i="15"/>
  <c r="O782" i="15"/>
  <c r="P781" i="15"/>
  <c r="O781" i="15"/>
  <c r="P780" i="15"/>
  <c r="N780" i="15"/>
  <c r="M780" i="15"/>
  <c r="L780" i="15"/>
  <c r="O780" i="15" s="1"/>
  <c r="P775" i="15"/>
  <c r="O775" i="15"/>
  <c r="N775" i="15"/>
  <c r="N773" i="15" s="1"/>
  <c r="P774" i="15"/>
  <c r="O774" i="15"/>
  <c r="P773" i="15"/>
  <c r="O773" i="15"/>
  <c r="M773" i="15"/>
  <c r="L773" i="15"/>
  <c r="O772" i="15"/>
  <c r="N772" i="15"/>
  <c r="M772" i="15"/>
  <c r="P772" i="15" s="1"/>
  <c r="L772" i="15"/>
  <c r="N771" i="15"/>
  <c r="N770" i="15" s="1"/>
  <c r="M771" i="15"/>
  <c r="L771" i="15"/>
  <c r="O771" i="15" s="1"/>
  <c r="L770" i="15"/>
  <c r="O770" i="15" s="1"/>
  <c r="K769" i="15"/>
  <c r="J769" i="15"/>
  <c r="P766" i="15"/>
  <c r="O766" i="15"/>
  <c r="P765" i="15"/>
  <c r="O765" i="15"/>
  <c r="P764" i="15"/>
  <c r="N764" i="15"/>
  <c r="M764" i="15"/>
  <c r="L764" i="15"/>
  <c r="O764" i="15" s="1"/>
  <c r="P759" i="15"/>
  <c r="O759" i="15"/>
  <c r="N759" i="15"/>
  <c r="N757" i="15" s="1"/>
  <c r="P758" i="15"/>
  <c r="O758" i="15"/>
  <c r="P757" i="15"/>
  <c r="O757" i="15"/>
  <c r="M757" i="15"/>
  <c r="L757" i="15"/>
  <c r="O756" i="15"/>
  <c r="N756" i="15"/>
  <c r="M756" i="15"/>
  <c r="P756" i="15" s="1"/>
  <c r="L756" i="15"/>
  <c r="N755" i="15"/>
  <c r="N754" i="15" s="1"/>
  <c r="M755" i="15"/>
  <c r="P755" i="15" s="1"/>
  <c r="L755" i="15"/>
  <c r="O755" i="15" s="1"/>
  <c r="M754" i="15"/>
  <c r="P754" i="15" s="1"/>
  <c r="L754" i="15"/>
  <c r="O754" i="15" s="1"/>
  <c r="K753" i="15"/>
  <c r="J753" i="15"/>
  <c r="P749" i="15"/>
  <c r="O749" i="15"/>
  <c r="P748" i="15"/>
  <c r="O748" i="15"/>
  <c r="P747" i="15"/>
  <c r="N747" i="15"/>
  <c r="M747" i="15"/>
  <c r="L747" i="15"/>
  <c r="O747" i="15" s="1"/>
  <c r="P742" i="15"/>
  <c r="O742" i="15"/>
  <c r="N742" i="15"/>
  <c r="N740" i="15" s="1"/>
  <c r="P741" i="15"/>
  <c r="O741" i="15"/>
  <c r="P740" i="15"/>
  <c r="O740" i="15"/>
  <c r="M740" i="15"/>
  <c r="L740" i="15"/>
  <c r="O739" i="15"/>
  <c r="N739" i="15"/>
  <c r="M739" i="15"/>
  <c r="P739" i="15" s="1"/>
  <c r="L739" i="15"/>
  <c r="N738" i="15"/>
  <c r="N737" i="15" s="1"/>
  <c r="M738" i="15"/>
  <c r="P738" i="15" s="1"/>
  <c r="L738" i="15"/>
  <c r="O738" i="15" s="1"/>
  <c r="M737" i="15"/>
  <c r="P737" i="15" s="1"/>
  <c r="L737" i="15"/>
  <c r="O737" i="15" s="1"/>
  <c r="K736" i="15"/>
  <c r="J736" i="15"/>
  <c r="J729" i="15"/>
  <c r="I729" i="15"/>
  <c r="K729" i="15" s="1"/>
  <c r="K728" i="15"/>
  <c r="J728" i="15"/>
  <c r="I728" i="15"/>
  <c r="J727" i="15"/>
  <c r="J726" i="15"/>
  <c r="I726" i="15"/>
  <c r="K726" i="15" s="1"/>
  <c r="K725" i="15"/>
  <c r="J725" i="15"/>
  <c r="J722" i="15" s="1"/>
  <c r="I725" i="15"/>
  <c r="J724" i="15"/>
  <c r="K723" i="15"/>
  <c r="J723" i="15"/>
  <c r="J721" i="15" s="1"/>
  <c r="I723" i="15"/>
  <c r="K722" i="15"/>
  <c r="I722" i="15"/>
  <c r="K721" i="15"/>
  <c r="I721" i="15"/>
  <c r="K720" i="15"/>
  <c r="J720" i="15"/>
  <c r="I720" i="15"/>
  <c r="J719" i="15"/>
  <c r="J718" i="15"/>
  <c r="K708" i="15"/>
  <c r="J708" i="15"/>
  <c r="I708" i="15"/>
  <c r="I707" i="15"/>
  <c r="I704" i="15"/>
  <c r="K701" i="15"/>
  <c r="J701" i="15"/>
  <c r="I701" i="15"/>
  <c r="J700" i="15"/>
  <c r="I700" i="15"/>
  <c r="K700" i="15" s="1"/>
  <c r="K699" i="15"/>
  <c r="J699" i="15"/>
  <c r="I699" i="15"/>
  <c r="P697" i="15"/>
  <c r="O697" i="15"/>
  <c r="P696" i="15"/>
  <c r="O696" i="15"/>
  <c r="P695" i="15"/>
  <c r="N695" i="15"/>
  <c r="M695" i="15"/>
  <c r="L695" i="15"/>
  <c r="O695" i="15" s="1"/>
  <c r="P690" i="15"/>
  <c r="O690" i="15"/>
  <c r="N690" i="15"/>
  <c r="L690" i="15"/>
  <c r="O688" i="15"/>
  <c r="N688" i="15"/>
  <c r="M688" i="15"/>
  <c r="P688" i="15" s="1"/>
  <c r="L688" i="15"/>
  <c r="N687" i="15"/>
  <c r="M687" i="15"/>
  <c r="P687" i="15" s="1"/>
  <c r="L687" i="15"/>
  <c r="O687" i="15" s="1"/>
  <c r="N686" i="15"/>
  <c r="N685" i="15" s="1"/>
  <c r="M686" i="15"/>
  <c r="L686" i="15"/>
  <c r="O686" i="15" s="1"/>
  <c r="J679" i="15"/>
  <c r="J678" i="15" s="1"/>
  <c r="K678" i="15"/>
  <c r="I678" i="15"/>
  <c r="K675" i="15"/>
  <c r="J675" i="15"/>
  <c r="J669" i="15" s="1"/>
  <c r="J654" i="15" s="1"/>
  <c r="K674" i="15"/>
  <c r="K673" i="15"/>
  <c r="K672" i="15"/>
  <c r="I671" i="15"/>
  <c r="K671" i="15" s="1"/>
  <c r="K670" i="15"/>
  <c r="I670" i="15"/>
  <c r="K669" i="15"/>
  <c r="I669" i="15"/>
  <c r="P667" i="15"/>
  <c r="O667" i="15"/>
  <c r="P666" i="15"/>
  <c r="O666" i="15"/>
  <c r="N665" i="15"/>
  <c r="M665" i="15"/>
  <c r="P665" i="15" s="1"/>
  <c r="L665" i="15"/>
  <c r="O665" i="15" s="1"/>
  <c r="P660" i="15"/>
  <c r="O660" i="15"/>
  <c r="N660" i="15"/>
  <c r="L660" i="15"/>
  <c r="P659" i="15"/>
  <c r="O659" i="15"/>
  <c r="P658" i="15"/>
  <c r="N658" i="15"/>
  <c r="M658" i="15"/>
  <c r="L658" i="15"/>
  <c r="O658" i="15" s="1"/>
  <c r="P657" i="15"/>
  <c r="O657" i="15"/>
  <c r="N657" i="15"/>
  <c r="M657" i="15"/>
  <c r="L657" i="15"/>
  <c r="P656" i="15"/>
  <c r="O656" i="15"/>
  <c r="N656" i="15"/>
  <c r="M656" i="15"/>
  <c r="M655" i="15" s="1"/>
  <c r="P655" i="15" s="1"/>
  <c r="L656" i="15"/>
  <c r="O655" i="15"/>
  <c r="N655" i="15"/>
  <c r="L655" i="15"/>
  <c r="I654" i="15"/>
  <c r="K654" i="15" s="1"/>
  <c r="K652" i="15"/>
  <c r="J652" i="15"/>
  <c r="K651" i="15"/>
  <c r="J651" i="15"/>
  <c r="I651" i="15"/>
  <c r="K650" i="15"/>
  <c r="J650" i="15"/>
  <c r="K649" i="15"/>
  <c r="J649" i="15"/>
  <c r="I649" i="15"/>
  <c r="K648" i="15"/>
  <c r="J648" i="15"/>
  <c r="K647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O641" i="15"/>
  <c r="L641" i="15"/>
  <c r="P640" i="15"/>
  <c r="O640" i="15"/>
  <c r="O639" i="15"/>
  <c r="N639" i="15"/>
  <c r="M639" i="15"/>
  <c r="P639" i="15" s="1"/>
  <c r="L639" i="15"/>
  <c r="P634" i="15"/>
  <c r="N634" i="15"/>
  <c r="L634" i="15"/>
  <c r="P633" i="15"/>
  <c r="O633" i="15"/>
  <c r="M632" i="15"/>
  <c r="P632" i="15" s="1"/>
  <c r="M631" i="15"/>
  <c r="P631" i="15" s="1"/>
  <c r="L631" i="15"/>
  <c r="O631" i="15" s="1"/>
  <c r="P630" i="15"/>
  <c r="N630" i="15"/>
  <c r="M630" i="15"/>
  <c r="L630" i="15"/>
  <c r="K628" i="15"/>
  <c r="J628" i="15"/>
  <c r="I628" i="15"/>
  <c r="K621" i="15"/>
  <c r="J621" i="15"/>
  <c r="I621" i="15"/>
  <c r="K620" i="15"/>
  <c r="J620" i="15"/>
  <c r="I620" i="15"/>
  <c r="K613" i="15"/>
  <c r="J613" i="15"/>
  <c r="K612" i="15"/>
  <c r="J612" i="15"/>
  <c r="K611" i="15"/>
  <c r="J611" i="15"/>
  <c r="J604" i="15"/>
  <c r="J594" i="15" s="1"/>
  <c r="K594" i="15" s="1"/>
  <c r="J603" i="15"/>
  <c r="J596" i="15"/>
  <c r="J595" i="15"/>
  <c r="J593" i="15" s="1"/>
  <c r="J592" i="15" s="1"/>
  <c r="I594" i="15"/>
  <c r="I593" i="15"/>
  <c r="J583" i="15"/>
  <c r="J582" i="15"/>
  <c r="J576" i="15" s="1"/>
  <c r="K576" i="15" s="1"/>
  <c r="J577" i="15"/>
  <c r="K577" i="15" s="1"/>
  <c r="I577" i="15"/>
  <c r="I576" i="15"/>
  <c r="K569" i="15"/>
  <c r="J569" i="15"/>
  <c r="I569" i="15"/>
  <c r="K568" i="15"/>
  <c r="J568" i="15"/>
  <c r="I568" i="15"/>
  <c r="K561" i="15"/>
  <c r="J561" i="15"/>
  <c r="I561" i="15"/>
  <c r="K560" i="15"/>
  <c r="J560" i="15"/>
  <c r="I560" i="15"/>
  <c r="K559" i="15"/>
  <c r="J559" i="15"/>
  <c r="I559" i="15"/>
  <c r="P557" i="15"/>
  <c r="L557" i="15"/>
  <c r="O557" i="15" s="1"/>
  <c r="P556" i="15"/>
  <c r="O556" i="15"/>
  <c r="P555" i="15"/>
  <c r="N555" i="15"/>
  <c r="M555" i="15"/>
  <c r="L555" i="15"/>
  <c r="O555" i="15" s="1"/>
  <c r="N553" i="15"/>
  <c r="N552" i="15"/>
  <c r="N549" i="15" s="1"/>
  <c r="M549" i="15"/>
  <c r="L549" i="15"/>
  <c r="P548" i="15"/>
  <c r="O548" i="15"/>
  <c r="M547" i="15"/>
  <c r="M546" i="15"/>
  <c r="L546" i="15"/>
  <c r="P545" i="15"/>
  <c r="N545" i="15"/>
  <c r="M545" i="15"/>
  <c r="M544" i="15" s="1"/>
  <c r="L545" i="15"/>
  <c r="J543" i="15"/>
  <c r="K543" i="15" s="1"/>
  <c r="I543" i="15"/>
  <c r="K542" i="15"/>
  <c r="I542" i="15"/>
  <c r="I541" i="15"/>
  <c r="K541" i="15" s="1"/>
  <c r="K540" i="15"/>
  <c r="I540" i="15"/>
  <c r="K539" i="15"/>
  <c r="I539" i="15"/>
  <c r="I538" i="15"/>
  <c r="I537" i="15"/>
  <c r="I522" i="15" s="1"/>
  <c r="P535" i="15"/>
  <c r="L535" i="15"/>
  <c r="P534" i="15"/>
  <c r="O534" i="15"/>
  <c r="N533" i="15"/>
  <c r="M533" i="15"/>
  <c r="P533" i="15" s="1"/>
  <c r="L533" i="15"/>
  <c r="O533" i="15" s="1"/>
  <c r="N532" i="15"/>
  <c r="N530" i="15"/>
  <c r="N529" i="15"/>
  <c r="O528" i="15"/>
  <c r="N528" i="15"/>
  <c r="N526" i="15" s="1"/>
  <c r="L528" i="15"/>
  <c r="M528" i="15" s="1"/>
  <c r="P527" i="15"/>
  <c r="O527" i="15"/>
  <c r="N525" i="15"/>
  <c r="N524" i="15"/>
  <c r="M524" i="15"/>
  <c r="P524" i="15" s="1"/>
  <c r="L524" i="15"/>
  <c r="O524" i="15" s="1"/>
  <c r="K517" i="15"/>
  <c r="J517" i="15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N504" i="15" s="1"/>
  <c r="N502" i="15" s="1"/>
  <c r="P506" i="15"/>
  <c r="O506" i="15"/>
  <c r="M505" i="15"/>
  <c r="P505" i="15" s="1"/>
  <c r="L505" i="15"/>
  <c r="O505" i="15" s="1"/>
  <c r="M504" i="15"/>
  <c r="L504" i="15"/>
  <c r="O504" i="15" s="1"/>
  <c r="N503" i="15"/>
  <c r="M503" i="15"/>
  <c r="P503" i="15" s="1"/>
  <c r="L503" i="15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K483" i="15"/>
  <c r="I483" i="15"/>
  <c r="P479" i="15"/>
  <c r="O479" i="15"/>
  <c r="L479" i="15"/>
  <c r="P478" i="15"/>
  <c r="O478" i="15"/>
  <c r="O477" i="15"/>
  <c r="N477" i="15"/>
  <c r="M477" i="15"/>
  <c r="P477" i="15" s="1"/>
  <c r="L477" i="15"/>
  <c r="N476" i="15"/>
  <c r="N472" i="15"/>
  <c r="N33" i="15" s="1"/>
  <c r="N30" i="15" s="1"/>
  <c r="L472" i="15"/>
  <c r="M472" i="15" s="1"/>
  <c r="P471" i="15"/>
  <c r="O471" i="15"/>
  <c r="L469" i="15"/>
  <c r="O468" i="15"/>
  <c r="N468" i="15"/>
  <c r="M468" i="15"/>
  <c r="L468" i="15"/>
  <c r="L467" i="15"/>
  <c r="J466" i="15"/>
  <c r="I466" i="15"/>
  <c r="K466" i="15" s="1"/>
  <c r="J465" i="15"/>
  <c r="I465" i="15"/>
  <c r="K465" i="15" s="1"/>
  <c r="I464" i="15"/>
  <c r="I463" i="15"/>
  <c r="K462" i="15"/>
  <c r="I462" i="15"/>
  <c r="I460" i="15"/>
  <c r="I442" i="15" s="1"/>
  <c r="K442" i="15" s="1"/>
  <c r="K458" i="15"/>
  <c r="P456" i="15"/>
  <c r="O456" i="15"/>
  <c r="L456" i="15"/>
  <c r="P455" i="15"/>
  <c r="O455" i="15"/>
  <c r="N454" i="15"/>
  <c r="M454" i="15"/>
  <c r="P454" i="15" s="1"/>
  <c r="L454" i="15"/>
  <c r="O454" i="15" s="1"/>
  <c r="N453" i="15"/>
  <c r="N452" i="15"/>
  <c r="N450" i="15"/>
  <c r="N449" i="15"/>
  <c r="M449" i="15"/>
  <c r="L449" i="15"/>
  <c r="O449" i="15" s="1"/>
  <c r="P448" i="15"/>
  <c r="O448" i="15"/>
  <c r="O447" i="15"/>
  <c r="N447" i="15"/>
  <c r="L447" i="15"/>
  <c r="N446" i="15"/>
  <c r="N444" i="15" s="1"/>
  <c r="M446" i="15"/>
  <c r="L446" i="15"/>
  <c r="O446" i="15" s="1"/>
  <c r="N445" i="15"/>
  <c r="M445" i="15"/>
  <c r="L445" i="15"/>
  <c r="O445" i="15" s="1"/>
  <c r="L444" i="15"/>
  <c r="O444" i="15" s="1"/>
  <c r="K443" i="15"/>
  <c r="J443" i="15"/>
  <c r="I443" i="15"/>
  <c r="J442" i="15"/>
  <c r="K441" i="15"/>
  <c r="I441" i="15"/>
  <c r="K440" i="15"/>
  <c r="I440" i="15"/>
  <c r="I439" i="15"/>
  <c r="K439" i="15" s="1"/>
  <c r="K438" i="15"/>
  <c r="I438" i="15"/>
  <c r="K437" i="15"/>
  <c r="I437" i="15"/>
  <c r="I435" i="15"/>
  <c r="K434" i="15"/>
  <c r="J434" i="15"/>
  <c r="I434" i="15"/>
  <c r="P431" i="15"/>
  <c r="L431" i="15"/>
  <c r="O431" i="15" s="1"/>
  <c r="P430" i="15"/>
  <c r="O430" i="15"/>
  <c r="P429" i="15"/>
  <c r="N429" i="15"/>
  <c r="M429" i="15"/>
  <c r="N428" i="15"/>
  <c r="N425" i="15"/>
  <c r="N424" i="15" s="1"/>
  <c r="P424" i="15"/>
  <c r="M424" i="15"/>
  <c r="M422" i="15" s="1"/>
  <c r="L424" i="15"/>
  <c r="O424" i="15" s="1"/>
  <c r="P423" i="15"/>
  <c r="O423" i="15"/>
  <c r="L422" i="15"/>
  <c r="M421" i="15"/>
  <c r="P420" i="15"/>
  <c r="O420" i="15"/>
  <c r="N420" i="15"/>
  <c r="M420" i="15"/>
  <c r="M419" i="15" s="1"/>
  <c r="L420" i="15"/>
  <c r="J418" i="15"/>
  <c r="I418" i="15"/>
  <c r="K418" i="15" s="1"/>
  <c r="K413" i="15"/>
  <c r="K412" i="15"/>
  <c r="N410" i="15"/>
  <c r="N408" i="15" s="1"/>
  <c r="M410" i="15"/>
  <c r="P410" i="15" s="1"/>
  <c r="L410" i="15"/>
  <c r="L408" i="15" s="1"/>
  <c r="O408" i="15" s="1"/>
  <c r="P409" i="15"/>
  <c r="O409" i="15"/>
  <c r="M408" i="15"/>
  <c r="P408" i="15" s="1"/>
  <c r="O407" i="15"/>
  <c r="N407" i="15"/>
  <c r="M407" i="15"/>
  <c r="P407" i="15" s="1"/>
  <c r="L407" i="15"/>
  <c r="L405" i="15" s="1"/>
  <c r="P406" i="15"/>
  <c r="O406" i="15"/>
  <c r="O405" i="15"/>
  <c r="M405" i="15"/>
  <c r="P405" i="15" s="1"/>
  <c r="M404" i="15"/>
  <c r="P404" i="15" s="1"/>
  <c r="L404" i="15"/>
  <c r="O404" i="15" s="1"/>
  <c r="N403" i="15"/>
  <c r="M403" i="15"/>
  <c r="P403" i="15" s="1"/>
  <c r="L403" i="15"/>
  <c r="O403" i="15" s="1"/>
  <c r="L402" i="15"/>
  <c r="O402" i="15" s="1"/>
  <c r="J401" i="15"/>
  <c r="I401" i="15"/>
  <c r="K401" i="15" s="1"/>
  <c r="K400" i="15"/>
  <c r="K399" i="15"/>
  <c r="P397" i="15"/>
  <c r="N397" i="15"/>
  <c r="N395" i="15" s="1"/>
  <c r="M397" i="15"/>
  <c r="L397" i="15"/>
  <c r="O397" i="15" s="1"/>
  <c r="P396" i="15"/>
  <c r="O396" i="15"/>
  <c r="O395" i="15"/>
  <c r="M395" i="15"/>
  <c r="P395" i="15" s="1"/>
  <c r="L395" i="15"/>
  <c r="P394" i="15"/>
  <c r="N394" i="15"/>
  <c r="N392" i="15" s="1"/>
  <c r="M394" i="15"/>
  <c r="L394" i="15"/>
  <c r="O394" i="15" s="1"/>
  <c r="P393" i="15"/>
  <c r="O393" i="15"/>
  <c r="O392" i="15"/>
  <c r="M392" i="15"/>
  <c r="P392" i="15" s="1"/>
  <c r="L392" i="15"/>
  <c r="P391" i="15"/>
  <c r="N391" i="15"/>
  <c r="N389" i="15" s="1"/>
  <c r="M391" i="15"/>
  <c r="L391" i="15"/>
  <c r="O391" i="15" s="1"/>
  <c r="O390" i="15"/>
  <c r="N390" i="15"/>
  <c r="M390" i="15"/>
  <c r="M389" i="15" s="1"/>
  <c r="P389" i="15" s="1"/>
  <c r="L390" i="15"/>
  <c r="O389" i="15"/>
  <c r="L389" i="15"/>
  <c r="J388" i="15"/>
  <c r="I388" i="15"/>
  <c r="K388" i="15" s="1"/>
  <c r="K385" i="15"/>
  <c r="J385" i="15"/>
  <c r="I385" i="15"/>
  <c r="K382" i="15"/>
  <c r="J382" i="15"/>
  <c r="J381" i="15"/>
  <c r="I381" i="15"/>
  <c r="K380" i="15"/>
  <c r="J380" i="15"/>
  <c r="J379" i="15"/>
  <c r="I379" i="15"/>
  <c r="J378" i="15"/>
  <c r="I378" i="15"/>
  <c r="K378" i="15" s="1"/>
  <c r="K377" i="15"/>
  <c r="J377" i="15"/>
  <c r="I374" i="15"/>
  <c r="K373" i="15"/>
  <c r="J373" i="15"/>
  <c r="K372" i="15"/>
  <c r="J372" i="15"/>
  <c r="J365" i="15" s="1"/>
  <c r="I372" i="15"/>
  <c r="K371" i="15"/>
  <c r="J371" i="15"/>
  <c r="J370" i="15"/>
  <c r="I370" i="15"/>
  <c r="J369" i="15"/>
  <c r="I369" i="15"/>
  <c r="K369" i="15" s="1"/>
  <c r="K368" i="15"/>
  <c r="J368" i="15"/>
  <c r="K365" i="15"/>
  <c r="I365" i="15"/>
  <c r="I364" i="15" s="1"/>
  <c r="K363" i="15"/>
  <c r="J363" i="15"/>
  <c r="K362" i="15"/>
  <c r="J362" i="15"/>
  <c r="I362" i="15"/>
  <c r="K361" i="15"/>
  <c r="J361" i="15"/>
  <c r="J360" i="15"/>
  <c r="I360" i="15"/>
  <c r="K360" i="15" s="1"/>
  <c r="J359" i="15"/>
  <c r="I359" i="15"/>
  <c r="K358" i="15"/>
  <c r="J358" i="15"/>
  <c r="J355" i="15"/>
  <c r="I355" i="15"/>
  <c r="K355" i="15" s="1"/>
  <c r="P353" i="15"/>
  <c r="N353" i="15"/>
  <c r="N351" i="15" s="1"/>
  <c r="M353" i="15"/>
  <c r="M351" i="15" s="1"/>
  <c r="L353" i="15"/>
  <c r="O353" i="15" s="1"/>
  <c r="P352" i="15"/>
  <c r="O352" i="15"/>
  <c r="O351" i="15"/>
  <c r="L351" i="15"/>
  <c r="N350" i="15"/>
  <c r="M350" i="15"/>
  <c r="M348" i="15" s="1"/>
  <c r="L350" i="15"/>
  <c r="O350" i="15" s="1"/>
  <c r="P349" i="15"/>
  <c r="O349" i="15"/>
  <c r="L348" i="15"/>
  <c r="N347" i="15"/>
  <c r="M347" i="15"/>
  <c r="L347" i="15"/>
  <c r="O346" i="15"/>
  <c r="N346" i="15"/>
  <c r="M346" i="15"/>
  <c r="L346" i="15"/>
  <c r="L345" i="15"/>
  <c r="J343" i="15"/>
  <c r="J342" i="15"/>
  <c r="J341" i="15"/>
  <c r="J327" i="15" s="1"/>
  <c r="J340" i="15"/>
  <c r="I340" i="15"/>
  <c r="K340" i="15" s="1"/>
  <c r="J338" i="15"/>
  <c r="I338" i="15"/>
  <c r="K338" i="15" s="1"/>
  <c r="P336" i="15"/>
  <c r="N336" i="15"/>
  <c r="N334" i="15" s="1"/>
  <c r="M336" i="15"/>
  <c r="L336" i="15"/>
  <c r="O336" i="15" s="1"/>
  <c r="P335" i="15"/>
  <c r="O335" i="15"/>
  <c r="O334" i="15"/>
  <c r="M334" i="15"/>
  <c r="P334" i="15" s="1"/>
  <c r="L334" i="15"/>
  <c r="P333" i="15"/>
  <c r="N333" i="15"/>
  <c r="N331" i="15" s="1"/>
  <c r="M333" i="15"/>
  <c r="L333" i="15"/>
  <c r="O333" i="15" s="1"/>
  <c r="P332" i="15"/>
  <c r="O332" i="15"/>
  <c r="M331" i="15"/>
  <c r="P331" i="15" s="1"/>
  <c r="L331" i="15"/>
  <c r="O331" i="15" s="1"/>
  <c r="M330" i="15"/>
  <c r="L330" i="15"/>
  <c r="P329" i="15"/>
  <c r="O329" i="15"/>
  <c r="N329" i="15"/>
  <c r="M329" i="15"/>
  <c r="M328" i="15" s="1"/>
  <c r="L329" i="15"/>
  <c r="L328" i="15"/>
  <c r="I327" i="15"/>
  <c r="K325" i="15"/>
  <c r="I325" i="15"/>
  <c r="N323" i="15"/>
  <c r="M323" i="15"/>
  <c r="M321" i="15" s="1"/>
  <c r="P321" i="15" s="1"/>
  <c r="L323" i="15"/>
  <c r="P322" i="15"/>
  <c r="O322" i="15"/>
  <c r="N321" i="15"/>
  <c r="P320" i="15"/>
  <c r="N320" i="15"/>
  <c r="M320" i="15"/>
  <c r="L320" i="15"/>
  <c r="P319" i="15"/>
  <c r="O319" i="15"/>
  <c r="N318" i="15"/>
  <c r="M318" i="15"/>
  <c r="P318" i="15" s="1"/>
  <c r="N317" i="15"/>
  <c r="M317" i="15"/>
  <c r="P317" i="15" s="1"/>
  <c r="O316" i="15"/>
  <c r="N316" i="15"/>
  <c r="M316" i="15"/>
  <c r="P316" i="15" s="1"/>
  <c r="L316" i="15"/>
  <c r="N315" i="15"/>
  <c r="K314" i="15"/>
  <c r="J314" i="15"/>
  <c r="I314" i="15"/>
  <c r="K312" i="15"/>
  <c r="I312" i="15"/>
  <c r="I311" i="15"/>
  <c r="K311" i="15" s="1"/>
  <c r="K310" i="15"/>
  <c r="I310" i="15"/>
  <c r="K309" i="15"/>
  <c r="I309" i="15"/>
  <c r="P306" i="15"/>
  <c r="N306" i="15"/>
  <c r="N304" i="15" s="1"/>
  <c r="M306" i="15"/>
  <c r="L306" i="15"/>
  <c r="L304" i="15" s="1"/>
  <c r="P305" i="15"/>
  <c r="O305" i="15"/>
  <c r="O304" i="15"/>
  <c r="M304" i="15"/>
  <c r="P304" i="15" s="1"/>
  <c r="N303" i="15"/>
  <c r="N301" i="15" s="1"/>
  <c r="M303" i="15"/>
  <c r="P303" i="15" s="1"/>
  <c r="L303" i="15"/>
  <c r="L301" i="15" s="1"/>
  <c r="O301" i="15" s="1"/>
  <c r="P302" i="15"/>
  <c r="O302" i="15"/>
  <c r="M301" i="15"/>
  <c r="P301" i="15" s="1"/>
  <c r="N300" i="15"/>
  <c r="O300" i="15" s="1"/>
  <c r="M300" i="15"/>
  <c r="L300" i="15"/>
  <c r="N299" i="15"/>
  <c r="M299" i="15"/>
  <c r="P299" i="15" s="1"/>
  <c r="L299" i="15"/>
  <c r="O299" i="15" s="1"/>
  <c r="M298" i="15"/>
  <c r="J297" i="15"/>
  <c r="K297" i="15" s="1"/>
  <c r="I297" i="15"/>
  <c r="I294" i="15"/>
  <c r="K294" i="15" s="1"/>
  <c r="K293" i="15"/>
  <c r="I293" i="15"/>
  <c r="K291" i="15"/>
  <c r="I291" i="15"/>
  <c r="I290" i="15"/>
  <c r="K290" i="15" s="1"/>
  <c r="I288" i="15"/>
  <c r="I287" i="15"/>
  <c r="K287" i="15" s="1"/>
  <c r="P285" i="15"/>
  <c r="N285" i="15"/>
  <c r="M285" i="15"/>
  <c r="M283" i="15" s="1"/>
  <c r="P283" i="15" s="1"/>
  <c r="L285" i="15"/>
  <c r="O285" i="15" s="1"/>
  <c r="P284" i="15"/>
  <c r="O284" i="15"/>
  <c r="N283" i="15"/>
  <c r="L283" i="15"/>
  <c r="O283" i="15" s="1"/>
  <c r="N282" i="15"/>
  <c r="M282" i="15"/>
  <c r="M280" i="15" s="1"/>
  <c r="P280" i="15" s="1"/>
  <c r="L282" i="15"/>
  <c r="O282" i="15" s="1"/>
  <c r="P281" i="15"/>
  <c r="O281" i="15"/>
  <c r="N280" i="15"/>
  <c r="L280" i="15"/>
  <c r="O280" i="15" s="1"/>
  <c r="N279" i="15"/>
  <c r="L279" i="15"/>
  <c r="O279" i="15" s="1"/>
  <c r="P278" i="15"/>
  <c r="O278" i="15"/>
  <c r="N278" i="15"/>
  <c r="M278" i="15"/>
  <c r="L278" i="15"/>
  <c r="L277" i="15" s="1"/>
  <c r="O277" i="15"/>
  <c r="N277" i="15"/>
  <c r="K276" i="15"/>
  <c r="J276" i="15"/>
  <c r="I276" i="15"/>
  <c r="K271" i="15"/>
  <c r="I271" i="15"/>
  <c r="P269" i="15"/>
  <c r="O269" i="15"/>
  <c r="N269" i="15"/>
  <c r="N267" i="15" s="1"/>
  <c r="M269" i="15"/>
  <c r="L269" i="15"/>
  <c r="L267" i="15" s="1"/>
  <c r="O267" i="15" s="1"/>
  <c r="P268" i="15"/>
  <c r="O268" i="15"/>
  <c r="P267" i="15"/>
  <c r="M267" i="15"/>
  <c r="P266" i="15"/>
  <c r="N266" i="15"/>
  <c r="N264" i="15" s="1"/>
  <c r="M266" i="15"/>
  <c r="L266" i="15"/>
  <c r="L264" i="15" s="1"/>
  <c r="O264" i="15" s="1"/>
  <c r="P265" i="15"/>
  <c r="O265" i="15"/>
  <c r="P264" i="15"/>
  <c r="M264" i="15"/>
  <c r="P263" i="15"/>
  <c r="N263" i="15"/>
  <c r="M263" i="15"/>
  <c r="P262" i="15"/>
  <c r="O262" i="15"/>
  <c r="N262" i="15"/>
  <c r="N261" i="15" s="1"/>
  <c r="M262" i="15"/>
  <c r="L262" i="15"/>
  <c r="M261" i="15"/>
  <c r="P261" i="15" s="1"/>
  <c r="J260" i="15"/>
  <c r="I260" i="15"/>
  <c r="K258" i="15"/>
  <c r="K257" i="15"/>
  <c r="K255" i="15"/>
  <c r="I255" i="15"/>
  <c r="L253" i="15"/>
  <c r="L252" i="15"/>
  <c r="L251" i="15"/>
  <c r="L229" i="15" s="1"/>
  <c r="L250" i="15"/>
  <c r="P249" i="15"/>
  <c r="N249" i="15"/>
  <c r="K248" i="15"/>
  <c r="J248" i="15"/>
  <c r="I248" i="15"/>
  <c r="K247" i="15"/>
  <c r="K246" i="15"/>
  <c r="I244" i="15"/>
  <c r="L242" i="15"/>
  <c r="L231" i="15" s="1"/>
  <c r="L241" i="15"/>
  <c r="L240" i="15"/>
  <c r="L239" i="15"/>
  <c r="P238" i="15"/>
  <c r="N238" i="15"/>
  <c r="N227" i="15" s="1"/>
  <c r="J237" i="15"/>
  <c r="J226" i="15" s="1"/>
  <c r="J180" i="15" s="1"/>
  <c r="K236" i="15"/>
  <c r="J236" i="15"/>
  <c r="I236" i="15"/>
  <c r="J235" i="15"/>
  <c r="I235" i="15"/>
  <c r="K235" i="15" s="1"/>
  <c r="J233" i="15"/>
  <c r="N231" i="15"/>
  <c r="N230" i="15"/>
  <c r="L230" i="15"/>
  <c r="N229" i="15"/>
  <c r="N228" i="15"/>
  <c r="L228" i="15"/>
  <c r="K225" i="15"/>
  <c r="I225" i="15"/>
  <c r="I224" i="15"/>
  <c r="I216" i="15" s="1"/>
  <c r="K216" i="15" s="1"/>
  <c r="K223" i="15"/>
  <c r="I223" i="15"/>
  <c r="L220" i="15"/>
  <c r="L217" i="15" s="1"/>
  <c r="O217" i="15" s="1"/>
  <c r="L219" i="15"/>
  <c r="L218" i="15"/>
  <c r="P217" i="15"/>
  <c r="N217" i="15"/>
  <c r="J216" i="15"/>
  <c r="K215" i="15"/>
  <c r="I215" i="15"/>
  <c r="K214" i="15"/>
  <c r="I214" i="15"/>
  <c r="L212" i="15"/>
  <c r="L211" i="15"/>
  <c r="L210" i="15"/>
  <c r="P209" i="15"/>
  <c r="N209" i="15"/>
  <c r="L209" i="15"/>
  <c r="O209" i="15" s="1"/>
  <c r="K208" i="15"/>
  <c r="J208" i="15"/>
  <c r="I208" i="15"/>
  <c r="K207" i="15"/>
  <c r="K206" i="15"/>
  <c r="K204" i="15"/>
  <c r="I204" i="15"/>
  <c r="L202" i="15"/>
  <c r="L201" i="15"/>
  <c r="L200" i="15"/>
  <c r="L199" i="15"/>
  <c r="L198" i="15" s="1"/>
  <c r="O198" i="15" s="1"/>
  <c r="P198" i="15"/>
  <c r="N198" i="15"/>
  <c r="J197" i="15"/>
  <c r="I197" i="15"/>
  <c r="K197" i="15" s="1"/>
  <c r="J194" i="15"/>
  <c r="K193" i="15"/>
  <c r="I193" i="15"/>
  <c r="P191" i="15"/>
  <c r="L191" i="15"/>
  <c r="O191" i="15" s="1"/>
  <c r="K190" i="15"/>
  <c r="J190" i="15"/>
  <c r="I190" i="15"/>
  <c r="P189" i="15"/>
  <c r="N189" i="15"/>
  <c r="N26" i="15" s="1"/>
  <c r="N16" i="15" s="1"/>
  <c r="M189" i="15"/>
  <c r="M187" i="15" s="1"/>
  <c r="P187" i="15" s="1"/>
  <c r="L189" i="15"/>
  <c r="L187" i="15" s="1"/>
  <c r="O187" i="15" s="1"/>
  <c r="P188" i="15"/>
  <c r="O188" i="15"/>
  <c r="N187" i="15"/>
  <c r="N186" i="15"/>
  <c r="N183" i="15" s="1"/>
  <c r="N181" i="15" s="1"/>
  <c r="M186" i="15"/>
  <c r="M184" i="15" s="1"/>
  <c r="P184" i="15" s="1"/>
  <c r="L186" i="15"/>
  <c r="L184" i="15" s="1"/>
  <c r="O184" i="15" s="1"/>
  <c r="P185" i="15"/>
  <c r="O185" i="15"/>
  <c r="N184" i="15"/>
  <c r="L183" i="15"/>
  <c r="N182" i="15"/>
  <c r="M182" i="15"/>
  <c r="L182" i="15"/>
  <c r="O182" i="15" s="1"/>
  <c r="L181" i="15"/>
  <c r="J177" i="15"/>
  <c r="J164" i="15" s="1"/>
  <c r="I176" i="15"/>
  <c r="J174" i="15"/>
  <c r="N173" i="15"/>
  <c r="M173" i="15"/>
  <c r="M171" i="15" s="1"/>
  <c r="P171" i="15" s="1"/>
  <c r="L173" i="15"/>
  <c r="L171" i="15" s="1"/>
  <c r="O171" i="15" s="1"/>
  <c r="P172" i="15"/>
  <c r="O172" i="15"/>
  <c r="N171" i="15"/>
  <c r="N170" i="15"/>
  <c r="N167" i="15" s="1"/>
  <c r="N165" i="15" s="1"/>
  <c r="M170" i="15"/>
  <c r="M168" i="15" s="1"/>
  <c r="L170" i="15"/>
  <c r="L168" i="15" s="1"/>
  <c r="P169" i="15"/>
  <c r="O169" i="15"/>
  <c r="L167" i="15"/>
  <c r="O166" i="15"/>
  <c r="N166" i="15"/>
  <c r="M166" i="15"/>
  <c r="L166" i="15"/>
  <c r="L165" i="15" s="1"/>
  <c r="O165" i="15" s="1"/>
  <c r="K159" i="15"/>
  <c r="I159" i="15"/>
  <c r="P157" i="15"/>
  <c r="N157" i="15"/>
  <c r="N155" i="15" s="1"/>
  <c r="M157" i="15"/>
  <c r="L157" i="15"/>
  <c r="L155" i="15" s="1"/>
  <c r="O155" i="15" s="1"/>
  <c r="P156" i="15"/>
  <c r="O156" i="15"/>
  <c r="P155" i="15"/>
  <c r="M155" i="15"/>
  <c r="P154" i="15"/>
  <c r="O154" i="15"/>
  <c r="N154" i="15"/>
  <c r="N152" i="15" s="1"/>
  <c r="M154" i="15"/>
  <c r="L154" i="15"/>
  <c r="L152" i="15" s="1"/>
  <c r="O152" i="15" s="1"/>
  <c r="P153" i="15"/>
  <c r="O153" i="15"/>
  <c r="P152" i="15"/>
  <c r="M152" i="15"/>
  <c r="P151" i="15"/>
  <c r="N151" i="15"/>
  <c r="M151" i="15"/>
  <c r="L151" i="15"/>
  <c r="L149" i="15" s="1"/>
  <c r="O149" i="15" s="1"/>
  <c r="O150" i="15"/>
  <c r="N150" i="15"/>
  <c r="M150" i="15"/>
  <c r="P150" i="15" s="1"/>
  <c r="L150" i="15"/>
  <c r="N149" i="15"/>
  <c r="P149" i="15" s="1"/>
  <c r="M149" i="15"/>
  <c r="J148" i="15"/>
  <c r="K148" i="15" s="1"/>
  <c r="I148" i="15"/>
  <c r="I146" i="15"/>
  <c r="I130" i="15" s="1"/>
  <c r="K130" i="15" s="1"/>
  <c r="K145" i="15"/>
  <c r="I145" i="15"/>
  <c r="K144" i="15"/>
  <c r="I144" i="15"/>
  <c r="J143" i="15"/>
  <c r="K143" i="15" s="1"/>
  <c r="I143" i="15"/>
  <c r="O140" i="15"/>
  <c r="N140" i="15"/>
  <c r="M140" i="15"/>
  <c r="P140" i="15" s="1"/>
  <c r="L140" i="15"/>
  <c r="L138" i="15" s="1"/>
  <c r="P139" i="15"/>
  <c r="O139" i="15"/>
  <c r="N138" i="15"/>
  <c r="M138" i="15"/>
  <c r="P138" i="15" s="1"/>
  <c r="N137" i="15"/>
  <c r="M137" i="15"/>
  <c r="P137" i="15" s="1"/>
  <c r="L137" i="15"/>
  <c r="L135" i="15" s="1"/>
  <c r="P136" i="15"/>
  <c r="O136" i="15"/>
  <c r="N135" i="15"/>
  <c r="N134" i="15"/>
  <c r="P133" i="15"/>
  <c r="N133" i="15"/>
  <c r="N132" i="15" s="1"/>
  <c r="M133" i="15"/>
  <c r="L133" i="15"/>
  <c r="J131" i="15"/>
  <c r="K131" i="15" s="1"/>
  <c r="I131" i="15"/>
  <c r="J130" i="15"/>
  <c r="P127" i="15"/>
  <c r="N127" i="15"/>
  <c r="N125" i="15" s="1"/>
  <c r="M127" i="15"/>
  <c r="L127" i="15"/>
  <c r="L125" i="15" s="1"/>
  <c r="O125" i="15" s="1"/>
  <c r="P126" i="15"/>
  <c r="O126" i="15"/>
  <c r="M125" i="15"/>
  <c r="P125" i="15" s="1"/>
  <c r="P124" i="15"/>
  <c r="O124" i="15"/>
  <c r="N124" i="15"/>
  <c r="N122" i="15" s="1"/>
  <c r="M124" i="15"/>
  <c r="L124" i="15"/>
  <c r="L122" i="15" s="1"/>
  <c r="O122" i="15" s="1"/>
  <c r="P123" i="15"/>
  <c r="O123" i="15"/>
  <c r="M122" i="15"/>
  <c r="P122" i="15" s="1"/>
  <c r="P121" i="15"/>
  <c r="N121" i="15"/>
  <c r="M121" i="15"/>
  <c r="L121" i="15"/>
  <c r="L119" i="15" s="1"/>
  <c r="O119" i="15" s="1"/>
  <c r="O120" i="15"/>
  <c r="N120" i="15"/>
  <c r="N119" i="15" s="1"/>
  <c r="M120" i="15"/>
  <c r="P120" i="15" s="1"/>
  <c r="L120" i="15"/>
  <c r="P119" i="15"/>
  <c r="M119" i="15"/>
  <c r="J118" i="15"/>
  <c r="K118" i="15" s="1"/>
  <c r="I116" i="15"/>
  <c r="K116" i="15" s="1"/>
  <c r="K115" i="15"/>
  <c r="I115" i="15"/>
  <c r="I112" i="15" s="1"/>
  <c r="K112" i="15" s="1"/>
  <c r="I114" i="15"/>
  <c r="K114" i="15" s="1"/>
  <c r="I113" i="15"/>
  <c r="K113" i="15" s="1"/>
  <c r="J112" i="15"/>
  <c r="K111" i="15"/>
  <c r="J111" i="15"/>
  <c r="I111" i="15"/>
  <c r="K110" i="15"/>
  <c r="I110" i="15"/>
  <c r="I109" i="15"/>
  <c r="K109" i="15" s="1"/>
  <c r="I107" i="15"/>
  <c r="K107" i="15" s="1"/>
  <c r="K106" i="15"/>
  <c r="I106" i="15"/>
  <c r="I104" i="15"/>
  <c r="K104" i="15" s="1"/>
  <c r="I103" i="15"/>
  <c r="K103" i="15" s="1"/>
  <c r="K102" i="15"/>
  <c r="I102" i="15"/>
  <c r="J100" i="15"/>
  <c r="K100" i="15" s="1"/>
  <c r="I100" i="15"/>
  <c r="J99" i="15"/>
  <c r="J87" i="15" s="1"/>
  <c r="I99" i="15"/>
  <c r="I87" i="15" s="1"/>
  <c r="J98" i="15"/>
  <c r="K98" i="15" s="1"/>
  <c r="I98" i="15"/>
  <c r="P96" i="15"/>
  <c r="N96" i="15"/>
  <c r="N94" i="15" s="1"/>
  <c r="M96" i="15"/>
  <c r="L96" i="15"/>
  <c r="L94" i="15" s="1"/>
  <c r="O94" i="15" s="1"/>
  <c r="P95" i="15"/>
  <c r="O95" i="15"/>
  <c r="M94" i="15"/>
  <c r="P94" i="15" s="1"/>
  <c r="P93" i="15"/>
  <c r="O93" i="15"/>
  <c r="N93" i="15"/>
  <c r="N91" i="15" s="1"/>
  <c r="M93" i="15"/>
  <c r="L93" i="15"/>
  <c r="L91" i="15" s="1"/>
  <c r="P92" i="15"/>
  <c r="O92" i="15"/>
  <c r="M91" i="15"/>
  <c r="P91" i="15" s="1"/>
  <c r="P90" i="15"/>
  <c r="N90" i="15"/>
  <c r="M90" i="15"/>
  <c r="L90" i="15"/>
  <c r="L88" i="15" s="1"/>
  <c r="O89" i="15"/>
  <c r="N89" i="15"/>
  <c r="M89" i="15"/>
  <c r="P89" i="15" s="1"/>
  <c r="L89" i="15"/>
  <c r="N88" i="15"/>
  <c r="M88" i="15"/>
  <c r="P88" i="15" s="1"/>
  <c r="I86" i="15"/>
  <c r="I84" i="15"/>
  <c r="K84" i="15" s="1"/>
  <c r="I83" i="15"/>
  <c r="K83" i="15" s="1"/>
  <c r="K82" i="15"/>
  <c r="I82" i="15"/>
  <c r="I81" i="15"/>
  <c r="K81" i="15" s="1"/>
  <c r="I80" i="15"/>
  <c r="K80" i="15" s="1"/>
  <c r="K79" i="15"/>
  <c r="I79" i="15"/>
  <c r="I78" i="15"/>
  <c r="K78" i="15" s="1"/>
  <c r="J77" i="15"/>
  <c r="J65" i="15" s="1"/>
  <c r="J76" i="15"/>
  <c r="I76" i="15"/>
  <c r="K76" i="15" s="1"/>
  <c r="O74" i="15"/>
  <c r="N74" i="15"/>
  <c r="N72" i="15" s="1"/>
  <c r="M74" i="15"/>
  <c r="P74" i="15" s="1"/>
  <c r="L74" i="15"/>
  <c r="P73" i="15"/>
  <c r="O73" i="15"/>
  <c r="P72" i="15"/>
  <c r="M72" i="15"/>
  <c r="L72" i="15"/>
  <c r="O72" i="15" s="1"/>
  <c r="N71" i="15"/>
  <c r="N69" i="15" s="1"/>
  <c r="P69" i="15" s="1"/>
  <c r="M71" i="15"/>
  <c r="P71" i="15" s="1"/>
  <c r="L71" i="15"/>
  <c r="P70" i="15"/>
  <c r="O70" i="15"/>
  <c r="O69" i="15"/>
  <c r="M69" i="15"/>
  <c r="L69" i="15"/>
  <c r="M68" i="15"/>
  <c r="L68" i="15"/>
  <c r="P67" i="15"/>
  <c r="N67" i="15"/>
  <c r="M67" i="15"/>
  <c r="L67" i="15"/>
  <c r="O67" i="15" s="1"/>
  <c r="M66" i="15"/>
  <c r="L66" i="15"/>
  <c r="J64" i="15"/>
  <c r="N61" i="15"/>
  <c r="M61" i="15"/>
  <c r="L61" i="15"/>
  <c r="O61" i="15" s="1"/>
  <c r="P60" i="15"/>
  <c r="O60" i="15"/>
  <c r="M59" i="15"/>
  <c r="L59" i="15"/>
  <c r="N58" i="15"/>
  <c r="N56" i="15" s="1"/>
  <c r="P56" i="15" s="1"/>
  <c r="M58" i="15"/>
  <c r="L58" i="15"/>
  <c r="O58" i="15" s="1"/>
  <c r="P57" i="15"/>
  <c r="O57" i="15"/>
  <c r="M56" i="15"/>
  <c r="L56" i="15"/>
  <c r="O56" i="15" s="1"/>
  <c r="M55" i="15"/>
  <c r="P54" i="15"/>
  <c r="O54" i="15"/>
  <c r="N54" i="15"/>
  <c r="M54" i="15"/>
  <c r="M53" i="15" s="1"/>
  <c r="L54" i="15"/>
  <c r="N49" i="15"/>
  <c r="M49" i="15"/>
  <c r="P49" i="15" s="1"/>
  <c r="L49" i="15"/>
  <c r="L47" i="15" s="1"/>
  <c r="O47" i="15" s="1"/>
  <c r="P48" i="15"/>
  <c r="O48" i="15"/>
  <c r="N47" i="15"/>
  <c r="M47" i="15"/>
  <c r="P47" i="15" s="1"/>
  <c r="N46" i="15"/>
  <c r="N43" i="15" s="1"/>
  <c r="M46" i="15"/>
  <c r="L46" i="15"/>
  <c r="O46" i="15" s="1"/>
  <c r="P45" i="15"/>
  <c r="O45" i="15"/>
  <c r="M44" i="15"/>
  <c r="L44" i="15"/>
  <c r="P42" i="15"/>
  <c r="N42" i="15"/>
  <c r="M42" i="15"/>
  <c r="L42" i="15"/>
  <c r="O42" i="15" s="1"/>
  <c r="P36" i="15"/>
  <c r="O36" i="15"/>
  <c r="N36" i="15"/>
  <c r="M36" i="15"/>
  <c r="L36" i="15"/>
  <c r="O35" i="15"/>
  <c r="N35" i="15"/>
  <c r="N29" i="15" s="1"/>
  <c r="N28" i="15" s="1"/>
  <c r="M35" i="15"/>
  <c r="P35" i="15" s="1"/>
  <c r="L35" i="15"/>
  <c r="L34" i="15" s="1"/>
  <c r="O34" i="15" s="1"/>
  <c r="M34" i="15"/>
  <c r="P34" i="15" s="1"/>
  <c r="M33" i="15"/>
  <c r="L33" i="15"/>
  <c r="P32" i="15"/>
  <c r="N32" i="15"/>
  <c r="M32" i="15"/>
  <c r="L32" i="15"/>
  <c r="O32" i="15" s="1"/>
  <c r="M29" i="15"/>
  <c r="P29" i="15" s="1"/>
  <c r="M26" i="15"/>
  <c r="L26" i="15"/>
  <c r="O26" i="15" s="1"/>
  <c r="P25" i="15"/>
  <c r="N25" i="15"/>
  <c r="M25" i="15"/>
  <c r="L25" i="15"/>
  <c r="O25" i="15" s="1"/>
  <c r="O22" i="15"/>
  <c r="N22" i="15"/>
  <c r="N19" i="15" s="1"/>
  <c r="M22" i="15"/>
  <c r="P22" i="15" s="1"/>
  <c r="L22" i="15"/>
  <c r="L19" i="15"/>
  <c r="O19" i="15" s="1"/>
  <c r="N15" i="15"/>
  <c r="M15" i="15"/>
  <c r="P15" i="15" s="1"/>
  <c r="L12" i="15"/>
  <c r="O12" i="15" s="1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K824" i="14" s="1"/>
  <c r="J823" i="14"/>
  <c r="K823" i="14" s="1"/>
  <c r="I823" i="14"/>
  <c r="J822" i="14"/>
  <c r="I822" i="14"/>
  <c r="K822" i="14" s="1"/>
  <c r="J821" i="14"/>
  <c r="I821" i="14"/>
  <c r="K821" i="14" s="1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P809" i="14"/>
  <c r="O809" i="14"/>
  <c r="P808" i="14"/>
  <c r="O808" i="14"/>
  <c r="N808" i="14"/>
  <c r="M808" i="14"/>
  <c r="L808" i="14"/>
  <c r="O807" i="14"/>
  <c r="N807" i="14"/>
  <c r="M807" i="14"/>
  <c r="P807" i="14" s="1"/>
  <c r="L807" i="14"/>
  <c r="N806" i="14"/>
  <c r="M806" i="14"/>
  <c r="P806" i="14" s="1"/>
  <c r="L806" i="14"/>
  <c r="O806" i="14" s="1"/>
  <c r="L805" i="14"/>
  <c r="O805" i="14" s="1"/>
  <c r="K804" i="14"/>
  <c r="J804" i="14"/>
  <c r="K802" i="14"/>
  <c r="J801" i="14"/>
  <c r="J800" i="14"/>
  <c r="J785" i="14" s="1"/>
  <c r="I800" i="14"/>
  <c r="I785" i="14" s="1"/>
  <c r="K785" i="14" s="1"/>
  <c r="P798" i="14"/>
  <c r="O798" i="14"/>
  <c r="P797" i="14"/>
  <c r="O797" i="14"/>
  <c r="P796" i="14"/>
  <c r="O796" i="14"/>
  <c r="N796" i="14"/>
  <c r="M796" i="14"/>
  <c r="L796" i="14"/>
  <c r="P791" i="14"/>
  <c r="N791" i="14"/>
  <c r="L791" i="14"/>
  <c r="O791" i="14" s="1"/>
  <c r="P790" i="14"/>
  <c r="O790" i="14"/>
  <c r="P789" i="14"/>
  <c r="N789" i="14"/>
  <c r="M789" i="14"/>
  <c r="L789" i="14"/>
  <c r="O789" i="14" s="1"/>
  <c r="N788" i="14"/>
  <c r="N786" i="14" s="1"/>
  <c r="M788" i="14"/>
  <c r="P788" i="14" s="1"/>
  <c r="N787" i="14"/>
  <c r="M787" i="14"/>
  <c r="L787" i="14"/>
  <c r="P782" i="14"/>
  <c r="O782" i="14"/>
  <c r="P781" i="14"/>
  <c r="O781" i="14"/>
  <c r="N780" i="14"/>
  <c r="M780" i="14"/>
  <c r="P780" i="14" s="1"/>
  <c r="L780" i="14"/>
  <c r="O780" i="14" s="1"/>
  <c r="P775" i="14"/>
  <c r="O775" i="14"/>
  <c r="N775" i="14"/>
  <c r="N773" i="14" s="1"/>
  <c r="P774" i="14"/>
  <c r="O774" i="14"/>
  <c r="P773" i="14"/>
  <c r="O773" i="14"/>
  <c r="M773" i="14"/>
  <c r="L773" i="14"/>
  <c r="P772" i="14"/>
  <c r="O772" i="14"/>
  <c r="N772" i="14"/>
  <c r="N770" i="14" s="1"/>
  <c r="M772" i="14"/>
  <c r="L772" i="14"/>
  <c r="O771" i="14"/>
  <c r="N771" i="14"/>
  <c r="M771" i="14"/>
  <c r="L771" i="14"/>
  <c r="O770" i="14"/>
  <c r="L770" i="14"/>
  <c r="K769" i="14"/>
  <c r="J769" i="14"/>
  <c r="P766" i="14"/>
  <c r="O766" i="14"/>
  <c r="P765" i="14"/>
  <c r="O765" i="14"/>
  <c r="N764" i="14"/>
  <c r="M764" i="14"/>
  <c r="P764" i="14" s="1"/>
  <c r="L764" i="14"/>
  <c r="O764" i="14" s="1"/>
  <c r="P759" i="14"/>
  <c r="O759" i="14"/>
  <c r="N759" i="14"/>
  <c r="N757" i="14" s="1"/>
  <c r="P758" i="14"/>
  <c r="O758" i="14"/>
  <c r="P757" i="14"/>
  <c r="O757" i="14"/>
  <c r="M757" i="14"/>
  <c r="L757" i="14"/>
  <c r="P756" i="14"/>
  <c r="O756" i="14"/>
  <c r="N756" i="14"/>
  <c r="M756" i="14"/>
  <c r="L756" i="14"/>
  <c r="O755" i="14"/>
  <c r="N755" i="14"/>
  <c r="N754" i="14" s="1"/>
  <c r="M755" i="14"/>
  <c r="P755" i="14" s="1"/>
  <c r="L755" i="14"/>
  <c r="M754" i="14"/>
  <c r="P754" i="14" s="1"/>
  <c r="L754" i="14"/>
  <c r="O754" i="14" s="1"/>
  <c r="K753" i="14"/>
  <c r="J753" i="14"/>
  <c r="P749" i="14"/>
  <c r="O749" i="14"/>
  <c r="P748" i="14"/>
  <c r="O748" i="14"/>
  <c r="N747" i="14"/>
  <c r="M747" i="14"/>
  <c r="P747" i="14" s="1"/>
  <c r="L747" i="14"/>
  <c r="O747" i="14" s="1"/>
  <c r="P742" i="14"/>
  <c r="O742" i="14"/>
  <c r="N742" i="14"/>
  <c r="N740" i="14" s="1"/>
  <c r="P741" i="14"/>
  <c r="O741" i="14"/>
  <c r="P740" i="14"/>
  <c r="M740" i="14"/>
  <c r="L740" i="14"/>
  <c r="O740" i="14" s="1"/>
  <c r="P739" i="14"/>
  <c r="O739" i="14"/>
  <c r="N739" i="14"/>
  <c r="M739" i="14"/>
  <c r="L739" i="14"/>
  <c r="P738" i="14"/>
  <c r="O738" i="14"/>
  <c r="N738" i="14"/>
  <c r="M738" i="14"/>
  <c r="L738" i="14"/>
  <c r="O737" i="14"/>
  <c r="N737" i="14"/>
  <c r="M737" i="14"/>
  <c r="P737" i="14" s="1"/>
  <c r="L737" i="14"/>
  <c r="K736" i="14"/>
  <c r="J736" i="14"/>
  <c r="K729" i="14"/>
  <c r="J729" i="14"/>
  <c r="I729" i="14"/>
  <c r="J728" i="14"/>
  <c r="I728" i="14"/>
  <c r="K728" i="14" s="1"/>
  <c r="J727" i="14"/>
  <c r="J726" i="14"/>
  <c r="I726" i="14"/>
  <c r="K726" i="14" s="1"/>
  <c r="J725" i="14"/>
  <c r="J722" i="14" s="1"/>
  <c r="I725" i="14"/>
  <c r="K725" i="14" s="1"/>
  <c r="J724" i="14"/>
  <c r="J723" i="14"/>
  <c r="J721" i="14" s="1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K699" i="14"/>
  <c r="J699" i="14"/>
  <c r="I699" i="14"/>
  <c r="P697" i="14"/>
  <c r="O697" i="14"/>
  <c r="P696" i="14"/>
  <c r="O696" i="14"/>
  <c r="N695" i="14"/>
  <c r="M695" i="14"/>
  <c r="P695" i="14" s="1"/>
  <c r="L695" i="14"/>
  <c r="O695" i="14" s="1"/>
  <c r="P690" i="14"/>
  <c r="N690" i="14"/>
  <c r="L690" i="14"/>
  <c r="P688" i="14"/>
  <c r="N688" i="14"/>
  <c r="M688" i="14"/>
  <c r="N687" i="14"/>
  <c r="M687" i="14"/>
  <c r="P687" i="14" s="1"/>
  <c r="O686" i="14"/>
  <c r="N686" i="14"/>
  <c r="M686" i="14"/>
  <c r="P686" i="14" s="1"/>
  <c r="L686" i="14"/>
  <c r="N685" i="14"/>
  <c r="M685" i="14"/>
  <c r="P685" i="14" s="1"/>
  <c r="J679" i="14"/>
  <c r="J678" i="14" s="1"/>
  <c r="I678" i="14"/>
  <c r="K678" i="14" s="1"/>
  <c r="J675" i="14"/>
  <c r="J669" i="14" s="1"/>
  <c r="J654" i="14" s="1"/>
  <c r="I671" i="14"/>
  <c r="K671" i="14" s="1"/>
  <c r="I670" i="14"/>
  <c r="K670" i="14" s="1"/>
  <c r="I669" i="14"/>
  <c r="K674" i="14" s="1"/>
  <c r="P667" i="14"/>
  <c r="O667" i="14"/>
  <c r="P666" i="14"/>
  <c r="O666" i="14"/>
  <c r="N665" i="14"/>
  <c r="M665" i="14"/>
  <c r="P665" i="14" s="1"/>
  <c r="L665" i="14"/>
  <c r="O665" i="14" s="1"/>
  <c r="P660" i="14"/>
  <c r="N660" i="14"/>
  <c r="N657" i="14" s="1"/>
  <c r="L660" i="14"/>
  <c r="O660" i="14" s="1"/>
  <c r="P659" i="14"/>
  <c r="O659" i="14"/>
  <c r="N658" i="14"/>
  <c r="M658" i="14"/>
  <c r="P658" i="14" s="1"/>
  <c r="M657" i="14"/>
  <c r="L657" i="14"/>
  <c r="O657" i="14" s="1"/>
  <c r="P656" i="14"/>
  <c r="N656" i="14"/>
  <c r="M656" i="14"/>
  <c r="L656" i="14"/>
  <c r="N655" i="14"/>
  <c r="K652" i="14"/>
  <c r="J652" i="14"/>
  <c r="J651" i="14"/>
  <c r="J628" i="14" s="1"/>
  <c r="I651" i="14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P639" i="14"/>
  <c r="N639" i="14"/>
  <c r="M639" i="14"/>
  <c r="P634" i="14"/>
  <c r="N634" i="14"/>
  <c r="L634" i="14"/>
  <c r="L632" i="14" s="1"/>
  <c r="O632" i="14" s="1"/>
  <c r="P633" i="14"/>
  <c r="O633" i="14"/>
  <c r="P632" i="14"/>
  <c r="N632" i="14"/>
  <c r="M632" i="14"/>
  <c r="N631" i="14"/>
  <c r="M631" i="14"/>
  <c r="P631" i="14" s="1"/>
  <c r="N630" i="14"/>
  <c r="M630" i="14"/>
  <c r="P630" i="14" s="1"/>
  <c r="L630" i="14"/>
  <c r="O630" i="14" s="1"/>
  <c r="P629" i="14"/>
  <c r="M629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J593" i="14" s="1"/>
  <c r="J592" i="14" s="1"/>
  <c r="I594" i="14"/>
  <c r="I593" i="14"/>
  <c r="J583" i="14"/>
  <c r="J577" i="14" s="1"/>
  <c r="J582" i="14"/>
  <c r="I577" i="14"/>
  <c r="J576" i="14"/>
  <c r="J559" i="14" s="1"/>
  <c r="J543" i="14" s="1"/>
  <c r="I576" i="14"/>
  <c r="J569" i="14"/>
  <c r="I569" i="14"/>
  <c r="K569" i="14" s="1"/>
  <c r="J568" i="14"/>
  <c r="I568" i="14"/>
  <c r="K568" i="14" s="1"/>
  <c r="J561" i="14"/>
  <c r="I561" i="14"/>
  <c r="J560" i="14"/>
  <c r="I560" i="14"/>
  <c r="K560" i="14" s="1"/>
  <c r="P557" i="14"/>
  <c r="L557" i="14"/>
  <c r="O557" i="14" s="1"/>
  <c r="P556" i="14"/>
  <c r="O556" i="14"/>
  <c r="N555" i="14"/>
  <c r="M555" i="14"/>
  <c r="P555" i="14" s="1"/>
  <c r="N553" i="14"/>
  <c r="N552" i="14"/>
  <c r="N549" i="14"/>
  <c r="L549" i="14"/>
  <c r="L547" i="14" s="1"/>
  <c r="P548" i="14"/>
  <c r="O548" i="14"/>
  <c r="N547" i="14"/>
  <c r="N546" i="14"/>
  <c r="L546" i="14"/>
  <c r="O546" i="14" s="1"/>
  <c r="N545" i="14"/>
  <c r="L545" i="14"/>
  <c r="O545" i="14" s="1"/>
  <c r="I542" i="14"/>
  <c r="K542" i="14" s="1"/>
  <c r="I541" i="14"/>
  <c r="K541" i="14" s="1"/>
  <c r="I540" i="14"/>
  <c r="K540" i="14" s="1"/>
  <c r="I539" i="14"/>
  <c r="K539" i="14" s="1"/>
  <c r="I538" i="14"/>
  <c r="I537" i="14"/>
  <c r="I522" i="14" s="1"/>
  <c r="K522" i="14" s="1"/>
  <c r="P535" i="14"/>
  <c r="L535" i="14"/>
  <c r="O535" i="14" s="1"/>
  <c r="P534" i="14"/>
  <c r="O534" i="14"/>
  <c r="N533" i="14"/>
  <c r="M533" i="14"/>
  <c r="P533" i="14" s="1"/>
  <c r="L533" i="14"/>
  <c r="O533" i="14" s="1"/>
  <c r="P528" i="14"/>
  <c r="N528" i="14"/>
  <c r="L528" i="14"/>
  <c r="O528" i="14" s="1"/>
  <c r="P527" i="14"/>
  <c r="O527" i="14"/>
  <c r="M526" i="14"/>
  <c r="P526" i="14" s="1"/>
  <c r="M525" i="14"/>
  <c r="M523" i="14" s="1"/>
  <c r="P523" i="14" s="1"/>
  <c r="P524" i="14"/>
  <c r="O524" i="14"/>
  <c r="N524" i="14"/>
  <c r="M524" i="14"/>
  <c r="L524" i="14"/>
  <c r="K517" i="14"/>
  <c r="J517" i="14"/>
  <c r="K516" i="14"/>
  <c r="P514" i="14"/>
  <c r="O514" i="14"/>
  <c r="P513" i="14"/>
  <c r="O513" i="14"/>
  <c r="N512" i="14"/>
  <c r="M512" i="14"/>
  <c r="P512" i="14" s="1"/>
  <c r="L512" i="14"/>
  <c r="O512" i="14" s="1"/>
  <c r="P507" i="14"/>
  <c r="O507" i="14"/>
  <c r="N507" i="14"/>
  <c r="N505" i="14" s="1"/>
  <c r="P506" i="14"/>
  <c r="O506" i="14"/>
  <c r="P505" i="14"/>
  <c r="O505" i="14"/>
  <c r="M505" i="14"/>
  <c r="L505" i="14"/>
  <c r="P504" i="14"/>
  <c r="O504" i="14"/>
  <c r="N504" i="14"/>
  <c r="M504" i="14"/>
  <c r="L504" i="14"/>
  <c r="O503" i="14"/>
  <c r="N503" i="14"/>
  <c r="M503" i="14"/>
  <c r="L503" i="14"/>
  <c r="L502" i="14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K485" i="14"/>
  <c r="I485" i="14"/>
  <c r="I483" i="14"/>
  <c r="K483" i="14" s="1"/>
  <c r="P479" i="14"/>
  <c r="L479" i="14"/>
  <c r="O479" i="14" s="1"/>
  <c r="P478" i="14"/>
  <c r="O478" i="14"/>
  <c r="P477" i="14"/>
  <c r="N477" i="14"/>
  <c r="M477" i="14"/>
  <c r="L477" i="14"/>
  <c r="O477" i="14" s="1"/>
  <c r="N476" i="14"/>
  <c r="N472" i="14" s="1"/>
  <c r="M472" i="14"/>
  <c r="P472" i="14" s="1"/>
  <c r="L472" i="14"/>
  <c r="L470" i="14" s="1"/>
  <c r="P471" i="14"/>
  <c r="O471" i="14"/>
  <c r="L469" i="14"/>
  <c r="P468" i="14"/>
  <c r="O468" i="14"/>
  <c r="N468" i="14"/>
  <c r="M468" i="14"/>
  <c r="L468" i="14"/>
  <c r="K466" i="14"/>
  <c r="J466" i="14"/>
  <c r="I466" i="14"/>
  <c r="J465" i="14"/>
  <c r="I465" i="14"/>
  <c r="K465" i="14" s="1"/>
  <c r="I464" i="14"/>
  <c r="I463" i="14"/>
  <c r="I462" i="14"/>
  <c r="K460" i="14"/>
  <c r="I460" i="14"/>
  <c r="K458" i="14"/>
  <c r="P456" i="14"/>
  <c r="L456" i="14"/>
  <c r="P455" i="14"/>
  <c r="O455" i="14"/>
  <c r="N454" i="14"/>
  <c r="M454" i="14"/>
  <c r="P454" i="14" s="1"/>
  <c r="P449" i="14"/>
  <c r="O449" i="14"/>
  <c r="N449" i="14"/>
  <c r="N447" i="14" s="1"/>
  <c r="L449" i="14"/>
  <c r="L447" i="14" s="1"/>
  <c r="O447" i="14" s="1"/>
  <c r="P448" i="14"/>
  <c r="O448" i="14"/>
  <c r="M447" i="14"/>
  <c r="P447" i="14" s="1"/>
  <c r="M446" i="14"/>
  <c r="P446" i="14" s="1"/>
  <c r="P445" i="14"/>
  <c r="N445" i="14"/>
  <c r="M445" i="14"/>
  <c r="L445" i="14"/>
  <c r="O445" i="14" s="1"/>
  <c r="J443" i="14"/>
  <c r="J442" i="14"/>
  <c r="I442" i="14"/>
  <c r="K442" i="14" s="1"/>
  <c r="I441" i="14"/>
  <c r="K441" i="14" s="1"/>
  <c r="I440" i="14"/>
  <c r="K440" i="14" s="1"/>
  <c r="I439" i="14"/>
  <c r="K439" i="14" s="1"/>
  <c r="I438" i="14"/>
  <c r="K438" i="14" s="1"/>
  <c r="K437" i="14"/>
  <c r="I437" i="14"/>
  <c r="I435" i="14"/>
  <c r="J434" i="14"/>
  <c r="J418" i="14" s="1"/>
  <c r="I433" i="14"/>
  <c r="P431" i="14"/>
  <c r="L431" i="14"/>
  <c r="P430" i="14"/>
  <c r="O430" i="14"/>
  <c r="N429" i="14"/>
  <c r="M429" i="14"/>
  <c r="P429" i="14" s="1"/>
  <c r="O424" i="14"/>
  <c r="N424" i="14"/>
  <c r="L424" i="14"/>
  <c r="L422" i="14" s="1"/>
  <c r="P423" i="14"/>
  <c r="O423" i="14"/>
  <c r="N422" i="14"/>
  <c r="N421" i="14"/>
  <c r="N420" i="14"/>
  <c r="M420" i="14"/>
  <c r="P420" i="14" s="1"/>
  <c r="L420" i="14"/>
  <c r="O420" i="14" s="1"/>
  <c r="I417" i="14"/>
  <c r="K413" i="14"/>
  <c r="K412" i="14"/>
  <c r="N410" i="14"/>
  <c r="N408" i="14" s="1"/>
  <c r="M410" i="14"/>
  <c r="P410" i="14" s="1"/>
  <c r="L410" i="14"/>
  <c r="O410" i="14" s="1"/>
  <c r="P409" i="14"/>
  <c r="O409" i="14"/>
  <c r="P407" i="14"/>
  <c r="N407" i="14"/>
  <c r="M407" i="14"/>
  <c r="M405" i="14" s="1"/>
  <c r="P405" i="14" s="1"/>
  <c r="L407" i="14"/>
  <c r="P406" i="14"/>
  <c r="O406" i="14"/>
  <c r="P403" i="14"/>
  <c r="N403" i="14"/>
  <c r="M403" i="14"/>
  <c r="L403" i="14"/>
  <c r="O403" i="14" s="1"/>
  <c r="K401" i="14"/>
  <c r="J401" i="14"/>
  <c r="I401" i="14"/>
  <c r="K400" i="14"/>
  <c r="K399" i="14"/>
  <c r="N397" i="14"/>
  <c r="M397" i="14"/>
  <c r="L397" i="14"/>
  <c r="L395" i="14" s="1"/>
  <c r="O395" i="14" s="1"/>
  <c r="P396" i="14"/>
  <c r="O396" i="14"/>
  <c r="N395" i="14"/>
  <c r="N394" i="14"/>
  <c r="N392" i="14" s="1"/>
  <c r="M394" i="14"/>
  <c r="P394" i="14" s="1"/>
  <c r="L394" i="14"/>
  <c r="P393" i="14"/>
  <c r="O393" i="14"/>
  <c r="N390" i="14"/>
  <c r="M390" i="14"/>
  <c r="L390" i="14"/>
  <c r="K388" i="14"/>
  <c r="J388" i="14"/>
  <c r="I388" i="14"/>
  <c r="J385" i="14"/>
  <c r="I385" i="14"/>
  <c r="K385" i="14" s="1"/>
  <c r="K382" i="14"/>
  <c r="J382" i="14"/>
  <c r="J381" i="14"/>
  <c r="I381" i="14"/>
  <c r="K380" i="14"/>
  <c r="J380" i="14"/>
  <c r="J379" i="14"/>
  <c r="K379" i="14" s="1"/>
  <c r="I379" i="14"/>
  <c r="J378" i="14"/>
  <c r="I378" i="14"/>
  <c r="K377" i="14"/>
  <c r="J377" i="14"/>
  <c r="J374" i="14"/>
  <c r="I374" i="14"/>
  <c r="K373" i="14"/>
  <c r="J373" i="14"/>
  <c r="J372" i="14"/>
  <c r="J365" i="14" s="1"/>
  <c r="I372" i="14"/>
  <c r="K372" i="14" s="1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I362" i="14"/>
  <c r="K361" i="14"/>
  <c r="J361" i="14"/>
  <c r="J360" i="14"/>
  <c r="K360" i="14" s="1"/>
  <c r="I360" i="14"/>
  <c r="J359" i="14"/>
  <c r="I359" i="14"/>
  <c r="K359" i="14" s="1"/>
  <c r="K358" i="14"/>
  <c r="J358" i="14"/>
  <c r="I355" i="14"/>
  <c r="N353" i="14"/>
  <c r="M353" i="14"/>
  <c r="L353" i="14"/>
  <c r="O353" i="14" s="1"/>
  <c r="P352" i="14"/>
  <c r="O352" i="14"/>
  <c r="N351" i="14"/>
  <c r="N350" i="14"/>
  <c r="N347" i="14" s="1"/>
  <c r="M350" i="14"/>
  <c r="L350" i="14"/>
  <c r="P349" i="14"/>
  <c r="O349" i="14"/>
  <c r="P346" i="14"/>
  <c r="N346" i="14"/>
  <c r="M346" i="14"/>
  <c r="L346" i="14"/>
  <c r="O346" i="14" s="1"/>
  <c r="J343" i="14"/>
  <c r="J342" i="14"/>
  <c r="J341" i="14"/>
  <c r="J340" i="14"/>
  <c r="I340" i="14"/>
  <c r="J338" i="14"/>
  <c r="I338" i="14"/>
  <c r="N336" i="14"/>
  <c r="M336" i="14"/>
  <c r="L336" i="14"/>
  <c r="O336" i="14" s="1"/>
  <c r="P335" i="14"/>
  <c r="O335" i="14"/>
  <c r="N334" i="14"/>
  <c r="N333" i="14"/>
  <c r="N331" i="14" s="1"/>
  <c r="M333" i="14"/>
  <c r="L333" i="14"/>
  <c r="L330" i="14" s="1"/>
  <c r="L328" i="14" s="1"/>
  <c r="P332" i="14"/>
  <c r="O332" i="14"/>
  <c r="M331" i="14"/>
  <c r="P329" i="14"/>
  <c r="O329" i="14"/>
  <c r="N329" i="14"/>
  <c r="M329" i="14"/>
  <c r="L329" i="14"/>
  <c r="I327" i="14"/>
  <c r="I325" i="14"/>
  <c r="N323" i="14"/>
  <c r="M323" i="14"/>
  <c r="L323" i="14"/>
  <c r="O323" i="14" s="1"/>
  <c r="P322" i="14"/>
  <c r="O322" i="14"/>
  <c r="N321" i="14"/>
  <c r="N320" i="14"/>
  <c r="N318" i="14" s="1"/>
  <c r="M320" i="14"/>
  <c r="L320" i="14"/>
  <c r="O320" i="14" s="1"/>
  <c r="P319" i="14"/>
  <c r="O319" i="14"/>
  <c r="P316" i="14"/>
  <c r="N316" i="14"/>
  <c r="M316" i="14"/>
  <c r="L316" i="14"/>
  <c r="J314" i="14"/>
  <c r="I312" i="14"/>
  <c r="K312" i="14" s="1"/>
  <c r="I311" i="14"/>
  <c r="K311" i="14" s="1"/>
  <c r="I310" i="14"/>
  <c r="K310" i="14" s="1"/>
  <c r="K309" i="14"/>
  <c r="I309" i="14"/>
  <c r="I297" i="14" s="1"/>
  <c r="K297" i="14" s="1"/>
  <c r="N306" i="14"/>
  <c r="N300" i="14" s="1"/>
  <c r="N298" i="14" s="1"/>
  <c r="M306" i="14"/>
  <c r="M304" i="14" s="1"/>
  <c r="P304" i="14" s="1"/>
  <c r="L306" i="14"/>
  <c r="O306" i="14" s="1"/>
  <c r="P305" i="14"/>
  <c r="O305" i="14"/>
  <c r="L304" i="14"/>
  <c r="O304" i="14" s="1"/>
  <c r="P303" i="14"/>
  <c r="N303" i="14"/>
  <c r="N301" i="14" s="1"/>
  <c r="M303" i="14"/>
  <c r="M301" i="14" s="1"/>
  <c r="P301" i="14" s="1"/>
  <c r="L303" i="14"/>
  <c r="O303" i="14" s="1"/>
  <c r="P302" i="14"/>
  <c r="O302" i="14"/>
  <c r="L301" i="14"/>
  <c r="O301" i="14" s="1"/>
  <c r="N299" i="14"/>
  <c r="M299" i="14"/>
  <c r="P299" i="14" s="1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75" i="14" s="1"/>
  <c r="K275" i="14" s="1"/>
  <c r="I287" i="14"/>
  <c r="K287" i="14" s="1"/>
  <c r="P285" i="14"/>
  <c r="N285" i="14"/>
  <c r="N283" i="14" s="1"/>
  <c r="M285" i="14"/>
  <c r="L285" i="14"/>
  <c r="O285" i="14" s="1"/>
  <c r="P284" i="14"/>
  <c r="O284" i="14"/>
  <c r="M283" i="14"/>
  <c r="P283" i="14" s="1"/>
  <c r="N282" i="14"/>
  <c r="M282" i="14"/>
  <c r="M279" i="14" s="1"/>
  <c r="P279" i="14" s="1"/>
  <c r="L282" i="14"/>
  <c r="O282" i="14" s="1"/>
  <c r="P281" i="14"/>
  <c r="O281" i="14"/>
  <c r="L280" i="14"/>
  <c r="O280" i="14" s="1"/>
  <c r="P278" i="14"/>
  <c r="O278" i="14"/>
  <c r="N278" i="14"/>
  <c r="M278" i="14"/>
  <c r="L278" i="14"/>
  <c r="J276" i="14"/>
  <c r="I271" i="14"/>
  <c r="K271" i="14" s="1"/>
  <c r="N269" i="14"/>
  <c r="N267" i="14" s="1"/>
  <c r="M269" i="14"/>
  <c r="L269" i="14"/>
  <c r="L267" i="14" s="1"/>
  <c r="O267" i="14" s="1"/>
  <c r="P268" i="14"/>
  <c r="O268" i="14"/>
  <c r="N266" i="14"/>
  <c r="N264" i="14" s="1"/>
  <c r="M266" i="14"/>
  <c r="M264" i="14" s="1"/>
  <c r="P264" i="14" s="1"/>
  <c r="L266" i="14"/>
  <c r="L264" i="14" s="1"/>
  <c r="P265" i="14"/>
  <c r="O265" i="14"/>
  <c r="N262" i="14"/>
  <c r="M262" i="14"/>
  <c r="L262" i="14"/>
  <c r="J260" i="14"/>
  <c r="K258" i="14"/>
  <c r="K257" i="14"/>
  <c r="I255" i="14"/>
  <c r="K255" i="14" s="1"/>
  <c r="L253" i="14"/>
  <c r="L252" i="14"/>
  <c r="L251" i="14"/>
  <c r="L250" i="14"/>
  <c r="P249" i="14"/>
  <c r="N249" i="14"/>
  <c r="J248" i="14"/>
  <c r="J226" i="14" s="1"/>
  <c r="J180" i="14" s="1"/>
  <c r="K247" i="14"/>
  <c r="K246" i="14"/>
  <c r="I244" i="14"/>
  <c r="L242" i="14"/>
  <c r="L241" i="14"/>
  <c r="L240" i="14"/>
  <c r="L229" i="14" s="1"/>
  <c r="L239" i="14"/>
  <c r="P238" i="14"/>
  <c r="N238" i="14"/>
  <c r="N227" i="14" s="1"/>
  <c r="J237" i="14"/>
  <c r="J236" i="14"/>
  <c r="I236" i="14"/>
  <c r="K236" i="14" s="1"/>
  <c r="K235" i="14"/>
  <c r="J235" i="14"/>
  <c r="I235" i="14"/>
  <c r="J233" i="14"/>
  <c r="N231" i="14"/>
  <c r="N230" i="14"/>
  <c r="N229" i="14"/>
  <c r="N228" i="14"/>
  <c r="I225" i="14"/>
  <c r="K225" i="14" s="1"/>
  <c r="I224" i="14"/>
  <c r="I216" i="14" s="1"/>
  <c r="K216" i="14" s="1"/>
  <c r="K223" i="14"/>
  <c r="I223" i="14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I208" i="14"/>
  <c r="K208" i="14" s="1"/>
  <c r="K207" i="14"/>
  <c r="K206" i="14"/>
  <c r="I204" i="14"/>
  <c r="K204" i="14" s="1"/>
  <c r="L202" i="14"/>
  <c r="L201" i="14"/>
  <c r="L200" i="14"/>
  <c r="L199" i="14"/>
  <c r="P198" i="14"/>
  <c r="N198" i="14"/>
  <c r="J197" i="14"/>
  <c r="I197" i="14"/>
  <c r="K197" i="14" s="1"/>
  <c r="J194" i="14"/>
  <c r="I193" i="14"/>
  <c r="K193" i="14" s="1"/>
  <c r="P191" i="14"/>
  <c r="L191" i="14"/>
  <c r="O191" i="14" s="1"/>
  <c r="J190" i="14"/>
  <c r="N189" i="14"/>
  <c r="N187" i="14" s="1"/>
  <c r="M189" i="14"/>
  <c r="P189" i="14" s="1"/>
  <c r="L189" i="14"/>
  <c r="O189" i="14" s="1"/>
  <c r="P188" i="14"/>
  <c r="O188" i="14"/>
  <c r="N186" i="14"/>
  <c r="M186" i="14"/>
  <c r="M183" i="14" s="1"/>
  <c r="L186" i="14"/>
  <c r="P185" i="14"/>
  <c r="O185" i="14"/>
  <c r="N184" i="14"/>
  <c r="M184" i="14"/>
  <c r="L184" i="14"/>
  <c r="O184" i="14" s="1"/>
  <c r="P182" i="14"/>
  <c r="N182" i="14"/>
  <c r="M182" i="14"/>
  <c r="L182" i="14"/>
  <c r="O182" i="14" s="1"/>
  <c r="J177" i="14"/>
  <c r="I176" i="14"/>
  <c r="J174" i="14"/>
  <c r="J164" i="14" s="1"/>
  <c r="N173" i="14"/>
  <c r="N171" i="14" s="1"/>
  <c r="M173" i="14"/>
  <c r="P173" i="14" s="1"/>
  <c r="L173" i="14"/>
  <c r="O173" i="14" s="1"/>
  <c r="P172" i="14"/>
  <c r="O172" i="14"/>
  <c r="N170" i="14"/>
  <c r="M170" i="14"/>
  <c r="M167" i="14" s="1"/>
  <c r="L170" i="14"/>
  <c r="P169" i="14"/>
  <c r="O169" i="14"/>
  <c r="N168" i="14"/>
  <c r="M168" i="14"/>
  <c r="L168" i="14"/>
  <c r="O168" i="14" s="1"/>
  <c r="P166" i="14"/>
  <c r="N166" i="14"/>
  <c r="M166" i="14"/>
  <c r="L166" i="14"/>
  <c r="O166" i="14" s="1"/>
  <c r="I159" i="14"/>
  <c r="K159" i="14" s="1"/>
  <c r="O157" i="14"/>
  <c r="N157" i="14"/>
  <c r="N155" i="14" s="1"/>
  <c r="M157" i="14"/>
  <c r="M155" i="14" s="1"/>
  <c r="P155" i="14" s="1"/>
  <c r="L157" i="14"/>
  <c r="P156" i="14"/>
  <c r="O156" i="14"/>
  <c r="O155" i="14"/>
  <c r="L155" i="14"/>
  <c r="N154" i="14"/>
  <c r="M154" i="14"/>
  <c r="M152" i="14" s="1"/>
  <c r="L154" i="14"/>
  <c r="O154" i="14" s="1"/>
  <c r="P153" i="14"/>
  <c r="O153" i="14"/>
  <c r="N152" i="14"/>
  <c r="N150" i="14"/>
  <c r="M150" i="14"/>
  <c r="L150" i="14"/>
  <c r="J148" i="14"/>
  <c r="I146" i="14"/>
  <c r="K146" i="14" s="1"/>
  <c r="I145" i="14"/>
  <c r="K145" i="14" s="1"/>
  <c r="I144" i="14"/>
  <c r="K144" i="14" s="1"/>
  <c r="N140" i="14"/>
  <c r="N138" i="14" s="1"/>
  <c r="M140" i="14"/>
  <c r="L140" i="14"/>
  <c r="P139" i="14"/>
  <c r="O139" i="14"/>
  <c r="N137" i="14"/>
  <c r="N134" i="14" s="1"/>
  <c r="M137" i="14"/>
  <c r="M134" i="14" s="1"/>
  <c r="P134" i="14" s="1"/>
  <c r="L137" i="14"/>
  <c r="O137" i="14" s="1"/>
  <c r="P136" i="14"/>
  <c r="O136" i="14"/>
  <c r="M135" i="14"/>
  <c r="P135" i="14" s="1"/>
  <c r="L135" i="14"/>
  <c r="O135" i="14" s="1"/>
  <c r="N133" i="14"/>
  <c r="M133" i="14"/>
  <c r="P133" i="14" s="1"/>
  <c r="L133" i="14"/>
  <c r="O133" i="14" s="1"/>
  <c r="J130" i="14"/>
  <c r="I130" i="14"/>
  <c r="K130" i="14" s="1"/>
  <c r="N127" i="14"/>
  <c r="M127" i="14"/>
  <c r="P127" i="14" s="1"/>
  <c r="L127" i="14"/>
  <c r="O127" i="14" s="1"/>
  <c r="P126" i="14"/>
  <c r="O126" i="14"/>
  <c r="N125" i="14"/>
  <c r="P124" i="14"/>
  <c r="N124" i="14"/>
  <c r="M124" i="14"/>
  <c r="M121" i="14" s="1"/>
  <c r="L124" i="14"/>
  <c r="O124" i="14" s="1"/>
  <c r="P123" i="14"/>
  <c r="O123" i="14"/>
  <c r="N122" i="14"/>
  <c r="P120" i="14"/>
  <c r="O120" i="14"/>
  <c r="N120" i="14"/>
  <c r="M120" i="14"/>
  <c r="L120" i="14"/>
  <c r="I116" i="14"/>
  <c r="K115" i="14"/>
  <c r="I115" i="14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K102" i="14"/>
  <c r="I102" i="14"/>
  <c r="J100" i="14"/>
  <c r="I100" i="14"/>
  <c r="K100" i="14" s="1"/>
  <c r="J99" i="14"/>
  <c r="J87" i="14" s="1"/>
  <c r="I99" i="14"/>
  <c r="I87" i="14" s="1"/>
  <c r="K87" i="14" s="1"/>
  <c r="J98" i="14"/>
  <c r="I98" i="14"/>
  <c r="K98" i="14" s="1"/>
  <c r="N96" i="14"/>
  <c r="M96" i="14"/>
  <c r="M94" i="14" s="1"/>
  <c r="P94" i="14" s="1"/>
  <c r="L96" i="14"/>
  <c r="O96" i="14" s="1"/>
  <c r="P95" i="14"/>
  <c r="O95" i="14"/>
  <c r="N94" i="14"/>
  <c r="L94" i="14"/>
  <c r="O94" i="14" s="1"/>
  <c r="N93" i="14"/>
  <c r="M93" i="14"/>
  <c r="M91" i="14" s="1"/>
  <c r="L93" i="14"/>
  <c r="O93" i="14" s="1"/>
  <c r="P92" i="14"/>
  <c r="O92" i="14"/>
  <c r="N91" i="14"/>
  <c r="O89" i="14"/>
  <c r="N89" i="14"/>
  <c r="M89" i="14"/>
  <c r="P89" i="14" s="1"/>
  <c r="L89" i="14"/>
  <c r="J86" i="14"/>
  <c r="I84" i="14"/>
  <c r="K84" i="14" s="1"/>
  <c r="I83" i="14"/>
  <c r="K83" i="14" s="1"/>
  <c r="K82" i="14"/>
  <c r="I82" i="14"/>
  <c r="I81" i="14"/>
  <c r="K81" i="14" s="1"/>
  <c r="I80" i="14"/>
  <c r="I79" i="14"/>
  <c r="K79" i="14" s="1"/>
  <c r="I78" i="14"/>
  <c r="K78" i="14" s="1"/>
  <c r="J77" i="14"/>
  <c r="J65" i="14" s="1"/>
  <c r="J76" i="14"/>
  <c r="O74" i="14"/>
  <c r="N74" i="14"/>
  <c r="N72" i="14" s="1"/>
  <c r="M74" i="14"/>
  <c r="P74" i="14" s="1"/>
  <c r="L74" i="14"/>
  <c r="L72" i="14" s="1"/>
  <c r="O72" i="14" s="1"/>
  <c r="P73" i="14"/>
  <c r="O73" i="14"/>
  <c r="N71" i="14"/>
  <c r="N69" i="14" s="1"/>
  <c r="M71" i="14"/>
  <c r="P71" i="14" s="1"/>
  <c r="L71" i="14"/>
  <c r="L69" i="14" s="1"/>
  <c r="O69" i="14" s="1"/>
  <c r="P70" i="14"/>
  <c r="O70" i="14"/>
  <c r="M68" i="14"/>
  <c r="P68" i="14" s="1"/>
  <c r="N67" i="14"/>
  <c r="M67" i="14"/>
  <c r="P67" i="14" s="1"/>
  <c r="L67" i="14"/>
  <c r="O67" i="14" s="1"/>
  <c r="J64" i="14"/>
  <c r="N61" i="14"/>
  <c r="M61" i="14"/>
  <c r="P61" i="14" s="1"/>
  <c r="L61" i="14"/>
  <c r="O61" i="14" s="1"/>
  <c r="P60" i="14"/>
  <c r="O60" i="14"/>
  <c r="N59" i="14"/>
  <c r="N58" i="14"/>
  <c r="M58" i="14"/>
  <c r="M56" i="14" s="1"/>
  <c r="L58" i="14"/>
  <c r="O58" i="14" s="1"/>
  <c r="P57" i="14"/>
  <c r="O57" i="14"/>
  <c r="N55" i="14"/>
  <c r="M55" i="14"/>
  <c r="P55" i="14" s="1"/>
  <c r="P54" i="14"/>
  <c r="O54" i="14"/>
  <c r="N54" i="14"/>
  <c r="M54" i="14"/>
  <c r="L54" i="14"/>
  <c r="M53" i="14"/>
  <c r="O49" i="14"/>
  <c r="N49" i="14"/>
  <c r="N47" i="14" s="1"/>
  <c r="M49" i="14"/>
  <c r="P49" i="14" s="1"/>
  <c r="L49" i="14"/>
  <c r="P48" i="14"/>
  <c r="O48" i="14"/>
  <c r="N46" i="14"/>
  <c r="M46" i="14"/>
  <c r="L46" i="14"/>
  <c r="L44" i="14" s="1"/>
  <c r="P45" i="14"/>
  <c r="O45" i="14"/>
  <c r="M44" i="14"/>
  <c r="M43" i="14"/>
  <c r="M41" i="14" s="1"/>
  <c r="N42" i="14"/>
  <c r="M42" i="14"/>
  <c r="P42" i="14" s="1"/>
  <c r="L42" i="14"/>
  <c r="O42" i="14" s="1"/>
  <c r="P36" i="14"/>
  <c r="N36" i="14"/>
  <c r="M36" i="14"/>
  <c r="P35" i="14"/>
  <c r="O35" i="14"/>
  <c r="N35" i="14"/>
  <c r="M35" i="14"/>
  <c r="M34" i="14" s="1"/>
  <c r="P34" i="14" s="1"/>
  <c r="L35" i="14"/>
  <c r="N34" i="14"/>
  <c r="N33" i="14"/>
  <c r="N32" i="14"/>
  <c r="M32" i="14"/>
  <c r="L32" i="14"/>
  <c r="N29" i="14"/>
  <c r="N25" i="14"/>
  <c r="M25" i="14"/>
  <c r="M19" i="14" s="1"/>
  <c r="L25" i="14"/>
  <c r="P22" i="14"/>
  <c r="O22" i="14"/>
  <c r="N22" i="14"/>
  <c r="N19" i="14" s="1"/>
  <c r="M22" i="14"/>
  <c r="L22" i="14"/>
  <c r="N15" i="14"/>
  <c r="M12" i="14"/>
  <c r="L12" i="14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P809" i="13"/>
  <c r="O809" i="13"/>
  <c r="O808" i="13"/>
  <c r="N808" i="13"/>
  <c r="M808" i="13"/>
  <c r="P808" i="13" s="1"/>
  <c r="L808" i="13"/>
  <c r="N807" i="13"/>
  <c r="N805" i="13" s="1"/>
  <c r="M807" i="13"/>
  <c r="P807" i="13" s="1"/>
  <c r="L807" i="13"/>
  <c r="O807" i="13" s="1"/>
  <c r="N806" i="13"/>
  <c r="M806" i="13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P796" i="13"/>
  <c r="O796" i="13"/>
  <c r="N796" i="13"/>
  <c r="M796" i="13"/>
  <c r="L796" i="13"/>
  <c r="P791" i="13"/>
  <c r="N791" i="13"/>
  <c r="L791" i="13"/>
  <c r="L788" i="13" s="1"/>
  <c r="P790" i="13"/>
  <c r="O790" i="13"/>
  <c r="N789" i="13"/>
  <c r="M789" i="13"/>
  <c r="P789" i="13" s="1"/>
  <c r="L789" i="13"/>
  <c r="O789" i="13" s="1"/>
  <c r="N788" i="13"/>
  <c r="N786" i="13" s="1"/>
  <c r="M788" i="13"/>
  <c r="P788" i="13" s="1"/>
  <c r="N787" i="13"/>
  <c r="M787" i="13"/>
  <c r="L787" i="13"/>
  <c r="O787" i="13" s="1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N773" i="13" s="1"/>
  <c r="P774" i="13"/>
  <c r="O774" i="13"/>
  <c r="P773" i="13"/>
  <c r="O773" i="13"/>
  <c r="M773" i="13"/>
  <c r="L773" i="13"/>
  <c r="O772" i="13"/>
  <c r="N772" i="13"/>
  <c r="M772" i="13"/>
  <c r="P772" i="13" s="1"/>
  <c r="L772" i="13"/>
  <c r="N771" i="13"/>
  <c r="M771" i="13"/>
  <c r="P771" i="13" s="1"/>
  <c r="L771" i="13"/>
  <c r="O771" i="13" s="1"/>
  <c r="M770" i="13"/>
  <c r="P770" i="13" s="1"/>
  <c r="L770" i="13"/>
  <c r="O770" i="13" s="1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N757" i="13" s="1"/>
  <c r="P758" i="13"/>
  <c r="O758" i="13"/>
  <c r="P757" i="13"/>
  <c r="O757" i="13"/>
  <c r="M757" i="13"/>
  <c r="L757" i="13"/>
  <c r="O756" i="13"/>
  <c r="N756" i="13"/>
  <c r="M756" i="13"/>
  <c r="P756" i="13" s="1"/>
  <c r="L756" i="13"/>
  <c r="N755" i="13"/>
  <c r="N754" i="13" s="1"/>
  <c r="M755" i="13"/>
  <c r="P755" i="13" s="1"/>
  <c r="L755" i="13"/>
  <c r="O755" i="13" s="1"/>
  <c r="M754" i="13"/>
  <c r="P754" i="13" s="1"/>
  <c r="L754" i="13"/>
  <c r="O754" i="13" s="1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N740" i="13" s="1"/>
  <c r="P741" i="13"/>
  <c r="O741" i="13"/>
  <c r="P740" i="13"/>
  <c r="O740" i="13"/>
  <c r="M740" i="13"/>
  <c r="L740" i="13"/>
  <c r="O739" i="13"/>
  <c r="N739" i="13"/>
  <c r="M739" i="13"/>
  <c r="P739" i="13" s="1"/>
  <c r="L739" i="13"/>
  <c r="N738" i="13"/>
  <c r="M738" i="13"/>
  <c r="P738" i="13" s="1"/>
  <c r="L738" i="13"/>
  <c r="O738" i="13" s="1"/>
  <c r="L737" i="13"/>
  <c r="O737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J721" i="13" s="1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K708" i="13"/>
  <c r="J708" i="13"/>
  <c r="I708" i="13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L690" i="13"/>
  <c r="L688" i="13" s="1"/>
  <c r="O688" i="13" s="1"/>
  <c r="N688" i="13"/>
  <c r="M688" i="13"/>
  <c r="P688" i="13" s="1"/>
  <c r="N687" i="13"/>
  <c r="M687" i="13"/>
  <c r="P687" i="13" s="1"/>
  <c r="L687" i="13"/>
  <c r="O687" i="13" s="1"/>
  <c r="N686" i="13"/>
  <c r="M686" i="13"/>
  <c r="L686" i="13"/>
  <c r="O686" i="13" s="1"/>
  <c r="J679" i="13"/>
  <c r="J678" i="13" s="1"/>
  <c r="I678" i="13"/>
  <c r="K678" i="13" s="1"/>
  <c r="J675" i="13"/>
  <c r="I671" i="13"/>
  <c r="K671" i="13" s="1"/>
  <c r="I670" i="13"/>
  <c r="K670" i="13" s="1"/>
  <c r="I669" i="13"/>
  <c r="K674" i="13" s="1"/>
  <c r="P667" i="13"/>
  <c r="O667" i="13"/>
  <c r="P666" i="13"/>
  <c r="O666" i="13"/>
  <c r="N665" i="13"/>
  <c r="M665" i="13"/>
  <c r="P665" i="13" s="1"/>
  <c r="L665" i="13"/>
  <c r="O665" i="13" s="1"/>
  <c r="N660" i="13"/>
  <c r="L660" i="13"/>
  <c r="L658" i="13" s="1"/>
  <c r="O658" i="13" s="1"/>
  <c r="P659" i="13"/>
  <c r="O659" i="13"/>
  <c r="N658" i="13"/>
  <c r="N657" i="13"/>
  <c r="L657" i="13"/>
  <c r="O657" i="13" s="1"/>
  <c r="P656" i="13"/>
  <c r="O656" i="13"/>
  <c r="N656" i="13"/>
  <c r="N655" i="13" s="1"/>
  <c r="M656" i="13"/>
  <c r="L656" i="13"/>
  <c r="K652" i="13"/>
  <c r="J652" i="13"/>
  <c r="J651" i="13"/>
  <c r="J628" i="13" s="1"/>
  <c r="I651" i="13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P639" i="13"/>
  <c r="N639" i="13"/>
  <c r="M639" i="13"/>
  <c r="N634" i="13"/>
  <c r="N632" i="13" s="1"/>
  <c r="L634" i="13"/>
  <c r="M634" i="13" s="1"/>
  <c r="P633" i="13"/>
  <c r="O633" i="13"/>
  <c r="N631" i="13"/>
  <c r="N630" i="13"/>
  <c r="M630" i="13"/>
  <c r="P630" i="13" s="1"/>
  <c r="L630" i="13"/>
  <c r="O630" i="13" s="1"/>
  <c r="J621" i="13"/>
  <c r="I621" i="13"/>
  <c r="K621" i="13" s="1"/>
  <c r="J620" i="13"/>
  <c r="I620" i="13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J593" i="13"/>
  <c r="I593" i="13"/>
  <c r="I592" i="13" s="1"/>
  <c r="J583" i="13"/>
  <c r="J577" i="13" s="1"/>
  <c r="J582" i="13"/>
  <c r="I577" i="13"/>
  <c r="J576" i="13"/>
  <c r="J559" i="13" s="1"/>
  <c r="I576" i="13"/>
  <c r="J569" i="13"/>
  <c r="I569" i="13"/>
  <c r="J568" i="13"/>
  <c r="I568" i="13"/>
  <c r="J561" i="13"/>
  <c r="I561" i="13"/>
  <c r="J560" i="13"/>
  <c r="I560" i="13"/>
  <c r="K560" i="13" s="1"/>
  <c r="P557" i="13"/>
  <c r="L557" i="13"/>
  <c r="L555" i="13" s="1"/>
  <c r="O555" i="13" s="1"/>
  <c r="P556" i="13"/>
  <c r="O556" i="13"/>
  <c r="N555" i="13"/>
  <c r="N545" i="13" s="1"/>
  <c r="N544" i="13" s="1"/>
  <c r="M555" i="13"/>
  <c r="N549" i="13"/>
  <c r="L549" i="13"/>
  <c r="P548" i="13"/>
  <c r="O548" i="13"/>
  <c r="N547" i="13"/>
  <c r="N546" i="13"/>
  <c r="L545" i="13"/>
  <c r="J543" i="13"/>
  <c r="I542" i="13"/>
  <c r="K542" i="13" s="1"/>
  <c r="I541" i="13"/>
  <c r="K541" i="13" s="1"/>
  <c r="I540" i="13"/>
  <c r="K540" i="13" s="1"/>
  <c r="K539" i="13"/>
  <c r="I539" i="13"/>
  <c r="I538" i="13"/>
  <c r="I537" i="13"/>
  <c r="P535" i="13"/>
  <c r="L535" i="13"/>
  <c r="O535" i="13" s="1"/>
  <c r="P534" i="13"/>
  <c r="O534" i="13"/>
  <c r="N533" i="13"/>
  <c r="M533" i="13"/>
  <c r="P533" i="13" s="1"/>
  <c r="N528" i="13"/>
  <c r="L528" i="13"/>
  <c r="P527" i="13"/>
  <c r="O527" i="13"/>
  <c r="N526" i="13"/>
  <c r="N525" i="13"/>
  <c r="P524" i="13"/>
  <c r="O524" i="13"/>
  <c r="N524" i="13"/>
  <c r="N523" i="13" s="1"/>
  <c r="M524" i="13"/>
  <c r="L524" i="13"/>
  <c r="I522" i="13"/>
  <c r="K517" i="13"/>
  <c r="J517" i="13"/>
  <c r="J501" i="13" s="1"/>
  <c r="K516" i="13"/>
  <c r="P514" i="13"/>
  <c r="O514" i="13"/>
  <c r="P513" i="13"/>
  <c r="O513" i="13"/>
  <c r="N512" i="13"/>
  <c r="M512" i="13"/>
  <c r="P512" i="13" s="1"/>
  <c r="L512" i="13"/>
  <c r="O512" i="13" s="1"/>
  <c r="P507" i="13"/>
  <c r="O507" i="13"/>
  <c r="N507" i="13"/>
  <c r="P506" i="13"/>
  <c r="O506" i="13"/>
  <c r="P505" i="13"/>
  <c r="O505" i="13"/>
  <c r="N505" i="13"/>
  <c r="M505" i="13"/>
  <c r="L505" i="13"/>
  <c r="P504" i="13"/>
  <c r="O504" i="13"/>
  <c r="N504" i="13"/>
  <c r="M504" i="13"/>
  <c r="L504" i="13"/>
  <c r="O503" i="13"/>
  <c r="N503" i="13"/>
  <c r="N502" i="13" s="1"/>
  <c r="M503" i="13"/>
  <c r="P503" i="13" s="1"/>
  <c r="L503" i="13"/>
  <c r="L502" i="13" s="1"/>
  <c r="O502" i="13" s="1"/>
  <c r="M502" i="13"/>
  <c r="P502" i="13" s="1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P477" i="13"/>
  <c r="N477" i="13"/>
  <c r="M477" i="13"/>
  <c r="L477" i="13"/>
  <c r="O477" i="13" s="1"/>
  <c r="P472" i="13"/>
  <c r="N472" i="13"/>
  <c r="O472" i="13" s="1"/>
  <c r="L472" i="13"/>
  <c r="M472" i="13" s="1"/>
  <c r="P471" i="13"/>
  <c r="O471" i="13"/>
  <c r="N469" i="13"/>
  <c r="P468" i="13"/>
  <c r="O468" i="13"/>
  <c r="N468" i="13"/>
  <c r="M468" i="13"/>
  <c r="L468" i="13"/>
  <c r="N467" i="13"/>
  <c r="J466" i="13"/>
  <c r="I466" i="13"/>
  <c r="K466" i="13" s="1"/>
  <c r="J465" i="13"/>
  <c r="I465" i="13"/>
  <c r="K465" i="13" s="1"/>
  <c r="I464" i="13"/>
  <c r="I463" i="13"/>
  <c r="I462" i="13"/>
  <c r="I460" i="13"/>
  <c r="K460" i="13" s="1"/>
  <c r="K458" i="13"/>
  <c r="P456" i="13"/>
  <c r="L456" i="13"/>
  <c r="L454" i="13" s="1"/>
  <c r="O454" i="13" s="1"/>
  <c r="P455" i="13"/>
  <c r="O455" i="13"/>
  <c r="N454" i="13"/>
  <c r="M454" i="13"/>
  <c r="P454" i="13" s="1"/>
  <c r="N449" i="13"/>
  <c r="L449" i="13"/>
  <c r="P448" i="13"/>
  <c r="O448" i="13"/>
  <c r="N447" i="13"/>
  <c r="N446" i="13"/>
  <c r="P445" i="13"/>
  <c r="N445" i="13"/>
  <c r="M445" i="13"/>
  <c r="L445" i="13"/>
  <c r="N444" i="13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K435" i="13" s="1"/>
  <c r="J434" i="13"/>
  <c r="J418" i="13" s="1"/>
  <c r="P431" i="13"/>
  <c r="O431" i="13"/>
  <c r="L431" i="13"/>
  <c r="P430" i="13"/>
  <c r="O430" i="13"/>
  <c r="N429" i="13"/>
  <c r="M429" i="13"/>
  <c r="P429" i="13" s="1"/>
  <c r="L429" i="13"/>
  <c r="O429" i="13" s="1"/>
  <c r="N424" i="13"/>
  <c r="L424" i="13"/>
  <c r="O424" i="13" s="1"/>
  <c r="P423" i="13"/>
  <c r="O423" i="13"/>
  <c r="N422" i="13"/>
  <c r="L422" i="13"/>
  <c r="O422" i="13" s="1"/>
  <c r="N421" i="13"/>
  <c r="N419" i="13" s="1"/>
  <c r="N420" i="13"/>
  <c r="M420" i="13"/>
  <c r="L420" i="13"/>
  <c r="O420" i="13" s="1"/>
  <c r="K413" i="13"/>
  <c r="K412" i="13"/>
  <c r="N410" i="13"/>
  <c r="N408" i="13" s="1"/>
  <c r="M410" i="13"/>
  <c r="P410" i="13" s="1"/>
  <c r="L410" i="13"/>
  <c r="P409" i="13"/>
  <c r="O409" i="13"/>
  <c r="N407" i="13"/>
  <c r="N404" i="13" s="1"/>
  <c r="M407" i="13"/>
  <c r="P407" i="13" s="1"/>
  <c r="L407" i="13"/>
  <c r="O407" i="13" s="1"/>
  <c r="P406" i="13"/>
  <c r="O406" i="13"/>
  <c r="M405" i="13"/>
  <c r="P405" i="13" s="1"/>
  <c r="P403" i="13"/>
  <c r="O403" i="13"/>
  <c r="N403" i="13"/>
  <c r="M403" i="13"/>
  <c r="L403" i="13"/>
  <c r="J401" i="13"/>
  <c r="I401" i="13"/>
  <c r="K401" i="13" s="1"/>
  <c r="K400" i="13"/>
  <c r="K399" i="13"/>
  <c r="N397" i="13"/>
  <c r="N395" i="13" s="1"/>
  <c r="M397" i="13"/>
  <c r="L397" i="13"/>
  <c r="O397" i="13" s="1"/>
  <c r="P396" i="13"/>
  <c r="O396" i="13"/>
  <c r="N394" i="13"/>
  <c r="M394" i="13"/>
  <c r="L394" i="13"/>
  <c r="O394" i="13" s="1"/>
  <c r="P393" i="13"/>
  <c r="O393" i="13"/>
  <c r="N390" i="13"/>
  <c r="M390" i="13"/>
  <c r="L390" i="13"/>
  <c r="O390" i="13" s="1"/>
  <c r="K388" i="13"/>
  <c r="J388" i="13"/>
  <c r="I388" i="13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K359" i="13" s="1"/>
  <c r="I359" i="13"/>
  <c r="K358" i="13"/>
  <c r="J358" i="13"/>
  <c r="I355" i="13"/>
  <c r="N353" i="13"/>
  <c r="N351" i="13" s="1"/>
  <c r="M353" i="13"/>
  <c r="L353" i="13"/>
  <c r="P352" i="13"/>
  <c r="O352" i="13"/>
  <c r="L351" i="13"/>
  <c r="N350" i="13"/>
  <c r="M350" i="13"/>
  <c r="L350" i="13"/>
  <c r="P349" i="13"/>
  <c r="O349" i="13"/>
  <c r="N348" i="13"/>
  <c r="N346" i="13"/>
  <c r="M346" i="13"/>
  <c r="L346" i="13"/>
  <c r="O346" i="13" s="1"/>
  <c r="J343" i="13"/>
  <c r="J342" i="13"/>
  <c r="J341" i="13"/>
  <c r="J340" i="13"/>
  <c r="I340" i="13"/>
  <c r="J338" i="13"/>
  <c r="I338" i="13"/>
  <c r="N336" i="13"/>
  <c r="N334" i="13" s="1"/>
  <c r="M336" i="13"/>
  <c r="L336" i="13"/>
  <c r="O336" i="13" s="1"/>
  <c r="P335" i="13"/>
  <c r="O335" i="13"/>
  <c r="N333" i="13"/>
  <c r="N331" i="13" s="1"/>
  <c r="M333" i="13"/>
  <c r="M331" i="13" s="1"/>
  <c r="L333" i="13"/>
  <c r="P332" i="13"/>
  <c r="O332" i="13"/>
  <c r="N329" i="13"/>
  <c r="M329" i="13"/>
  <c r="L329" i="13"/>
  <c r="O329" i="13" s="1"/>
  <c r="I327" i="13"/>
  <c r="I325" i="13"/>
  <c r="K325" i="13" s="1"/>
  <c r="N323" i="13"/>
  <c r="N321" i="13" s="1"/>
  <c r="M323" i="13"/>
  <c r="M321" i="13" s="1"/>
  <c r="P321" i="13" s="1"/>
  <c r="L323" i="13"/>
  <c r="O323" i="13" s="1"/>
  <c r="P322" i="13"/>
  <c r="O322" i="13"/>
  <c r="N320" i="13"/>
  <c r="M320" i="13"/>
  <c r="M318" i="13" s="1"/>
  <c r="L320" i="13"/>
  <c r="L317" i="13" s="1"/>
  <c r="L315" i="13" s="1"/>
  <c r="P319" i="13"/>
  <c r="O319" i="13"/>
  <c r="N317" i="13"/>
  <c r="N315" i="13" s="1"/>
  <c r="P316" i="13"/>
  <c r="O316" i="13"/>
  <c r="N316" i="13"/>
  <c r="M316" i="13"/>
  <c r="L316" i="13"/>
  <c r="J314" i="13"/>
  <c r="K312" i="13"/>
  <c r="I312" i="13"/>
  <c r="I311" i="13"/>
  <c r="K311" i="13" s="1"/>
  <c r="I310" i="13"/>
  <c r="K310" i="13" s="1"/>
  <c r="I309" i="13"/>
  <c r="K309" i="13" s="1"/>
  <c r="N306" i="13"/>
  <c r="N304" i="13" s="1"/>
  <c r="M306" i="13"/>
  <c r="P306" i="13" s="1"/>
  <c r="L306" i="13"/>
  <c r="P305" i="13"/>
  <c r="O305" i="13"/>
  <c r="N303" i="13"/>
  <c r="N301" i="13" s="1"/>
  <c r="M303" i="13"/>
  <c r="L303" i="13"/>
  <c r="P302" i="13"/>
  <c r="O302" i="13"/>
  <c r="P299" i="13"/>
  <c r="N299" i="13"/>
  <c r="M299" i="13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K287" i="13" s="1"/>
  <c r="N285" i="13"/>
  <c r="N283" i="13" s="1"/>
  <c r="M285" i="13"/>
  <c r="L285" i="13"/>
  <c r="O285" i="13" s="1"/>
  <c r="P284" i="13"/>
  <c r="O284" i="13"/>
  <c r="N282" i="13"/>
  <c r="M282" i="13"/>
  <c r="L282" i="13"/>
  <c r="O282" i="13" s="1"/>
  <c r="P281" i="13"/>
  <c r="O281" i="13"/>
  <c r="N278" i="13"/>
  <c r="M278" i="13"/>
  <c r="P278" i="13" s="1"/>
  <c r="L278" i="13"/>
  <c r="J276" i="13"/>
  <c r="I276" i="13"/>
  <c r="K276" i="13" s="1"/>
  <c r="I271" i="13"/>
  <c r="K271" i="13" s="1"/>
  <c r="N269" i="13"/>
  <c r="N267" i="13" s="1"/>
  <c r="M269" i="13"/>
  <c r="P269" i="13" s="1"/>
  <c r="L269" i="13"/>
  <c r="P268" i="13"/>
  <c r="O268" i="13"/>
  <c r="M267" i="13"/>
  <c r="P267" i="13" s="1"/>
  <c r="N266" i="13"/>
  <c r="N263" i="13" s="1"/>
  <c r="N261" i="13" s="1"/>
  <c r="M266" i="13"/>
  <c r="P266" i="13" s="1"/>
  <c r="L266" i="13"/>
  <c r="L263" i="13" s="1"/>
  <c r="P265" i="13"/>
  <c r="O265" i="13"/>
  <c r="N264" i="13"/>
  <c r="M264" i="13"/>
  <c r="P264" i="13" s="1"/>
  <c r="M263" i="13"/>
  <c r="P263" i="13" s="1"/>
  <c r="N262" i="13"/>
  <c r="M262" i="13"/>
  <c r="P262" i="13" s="1"/>
  <c r="L262" i="13"/>
  <c r="O262" i="13" s="1"/>
  <c r="J260" i="13"/>
  <c r="I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K247" i="13"/>
  <c r="K246" i="13"/>
  <c r="I244" i="13"/>
  <c r="K244" i="13" s="1"/>
  <c r="L242" i="13"/>
  <c r="L241" i="13"/>
  <c r="L230" i="13" s="1"/>
  <c r="L240" i="13"/>
  <c r="L239" i="13"/>
  <c r="P238" i="13"/>
  <c r="N238" i="13"/>
  <c r="J237" i="13"/>
  <c r="J226" i="13" s="1"/>
  <c r="J180" i="13" s="1"/>
  <c r="K236" i="13"/>
  <c r="J236" i="13"/>
  <c r="I236" i="13"/>
  <c r="K235" i="13"/>
  <c r="J235" i="13"/>
  <c r="I235" i="13"/>
  <c r="J233" i="13"/>
  <c r="N231" i="13"/>
  <c r="N230" i="13"/>
  <c r="N229" i="13"/>
  <c r="N228" i="13"/>
  <c r="L228" i="13"/>
  <c r="I225" i="13"/>
  <c r="K225" i="13" s="1"/>
  <c r="K224" i="13"/>
  <c r="I224" i="13"/>
  <c r="I216" i="13" s="1"/>
  <c r="K216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M187" i="13" s="1"/>
  <c r="P187" i="13" s="1"/>
  <c r="L189" i="13"/>
  <c r="O189" i="13" s="1"/>
  <c r="P188" i="13"/>
  <c r="O188" i="13"/>
  <c r="N186" i="13"/>
  <c r="M186" i="13"/>
  <c r="M184" i="13" s="1"/>
  <c r="L186" i="13"/>
  <c r="P185" i="13"/>
  <c r="O185" i="13"/>
  <c r="N183" i="13"/>
  <c r="P182" i="13"/>
  <c r="O182" i="13"/>
  <c r="N182" i="13"/>
  <c r="M182" i="13"/>
  <c r="L182" i="13"/>
  <c r="N181" i="13"/>
  <c r="J177" i="13"/>
  <c r="J164" i="13" s="1"/>
  <c r="I176" i="13"/>
  <c r="K176" i="13" s="1"/>
  <c r="J174" i="13"/>
  <c r="N173" i="13"/>
  <c r="N171" i="13" s="1"/>
  <c r="M173" i="13"/>
  <c r="M171" i="13" s="1"/>
  <c r="P171" i="13" s="1"/>
  <c r="L173" i="13"/>
  <c r="O173" i="13" s="1"/>
  <c r="P172" i="13"/>
  <c r="O172" i="13"/>
  <c r="N170" i="13"/>
  <c r="N168" i="13" s="1"/>
  <c r="M170" i="13"/>
  <c r="M168" i="13" s="1"/>
  <c r="P168" i="13" s="1"/>
  <c r="L170" i="13"/>
  <c r="L167" i="13" s="1"/>
  <c r="P169" i="13"/>
  <c r="O169" i="13"/>
  <c r="P166" i="13"/>
  <c r="O166" i="13"/>
  <c r="N166" i="13"/>
  <c r="M166" i="13"/>
  <c r="L166" i="13"/>
  <c r="I159" i="13"/>
  <c r="K159" i="13" s="1"/>
  <c r="N157" i="13"/>
  <c r="N155" i="13" s="1"/>
  <c r="M157" i="13"/>
  <c r="P157" i="13" s="1"/>
  <c r="L157" i="13"/>
  <c r="P156" i="13"/>
  <c r="O156" i="13"/>
  <c r="N154" i="13"/>
  <c r="N152" i="13" s="1"/>
  <c r="M154" i="13"/>
  <c r="P154" i="13" s="1"/>
  <c r="L154" i="13"/>
  <c r="L151" i="13" s="1"/>
  <c r="O151" i="13" s="1"/>
  <c r="P153" i="13"/>
  <c r="O153" i="13"/>
  <c r="N150" i="13"/>
  <c r="M150" i="13"/>
  <c r="P150" i="13" s="1"/>
  <c r="L150" i="13"/>
  <c r="J148" i="13"/>
  <c r="I146" i="13"/>
  <c r="I130" i="13" s="1"/>
  <c r="K130" i="13" s="1"/>
  <c r="I145" i="13"/>
  <c r="I144" i="13"/>
  <c r="K144" i="13" s="1"/>
  <c r="N140" i="13"/>
  <c r="N138" i="13" s="1"/>
  <c r="M140" i="13"/>
  <c r="M138" i="13" s="1"/>
  <c r="L140" i="13"/>
  <c r="L138" i="13" s="1"/>
  <c r="P139" i="13"/>
  <c r="O139" i="13"/>
  <c r="N137" i="13"/>
  <c r="M137" i="13"/>
  <c r="M135" i="13" s="1"/>
  <c r="L137" i="13"/>
  <c r="L135" i="13" s="1"/>
  <c r="P136" i="13"/>
  <c r="O136" i="13"/>
  <c r="O133" i="13"/>
  <c r="N133" i="13"/>
  <c r="M133" i="13"/>
  <c r="P133" i="13" s="1"/>
  <c r="L133" i="13"/>
  <c r="J130" i="13"/>
  <c r="N127" i="13"/>
  <c r="N125" i="13" s="1"/>
  <c r="M127" i="13"/>
  <c r="P127" i="13" s="1"/>
  <c r="L127" i="13"/>
  <c r="P126" i="13"/>
  <c r="O126" i="13"/>
  <c r="N124" i="13"/>
  <c r="N122" i="13" s="1"/>
  <c r="M124" i="13"/>
  <c r="L124" i="13"/>
  <c r="P123" i="13"/>
  <c r="O123" i="13"/>
  <c r="P120" i="13"/>
  <c r="O120" i="13"/>
  <c r="N120" i="13"/>
  <c r="M120" i="13"/>
  <c r="L120" i="13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I87" i="13" s="1"/>
  <c r="K87" i="13" s="1"/>
  <c r="J98" i="13"/>
  <c r="I98" i="13"/>
  <c r="K98" i="13" s="1"/>
  <c r="N96" i="13"/>
  <c r="N94" i="13" s="1"/>
  <c r="M96" i="13"/>
  <c r="M94" i="13" s="1"/>
  <c r="P94" i="13" s="1"/>
  <c r="L96" i="13"/>
  <c r="P95" i="13"/>
  <c r="O95" i="13"/>
  <c r="N93" i="13"/>
  <c r="N91" i="13" s="1"/>
  <c r="M93" i="13"/>
  <c r="M91" i="13" s="1"/>
  <c r="L93" i="13"/>
  <c r="P92" i="13"/>
  <c r="O92" i="13"/>
  <c r="L91" i="13"/>
  <c r="P89" i="13"/>
  <c r="O89" i="13"/>
  <c r="N89" i="13"/>
  <c r="M89" i="13"/>
  <c r="L89" i="13"/>
  <c r="J87" i="13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I78" i="13"/>
  <c r="K78" i="13" s="1"/>
  <c r="J77" i="13"/>
  <c r="J65" i="13" s="1"/>
  <c r="J76" i="13"/>
  <c r="N74" i="13"/>
  <c r="N72" i="13" s="1"/>
  <c r="M74" i="13"/>
  <c r="M72" i="13" s="1"/>
  <c r="P72" i="13" s="1"/>
  <c r="L74" i="13"/>
  <c r="L72" i="13" s="1"/>
  <c r="O72" i="13" s="1"/>
  <c r="P73" i="13"/>
  <c r="O73" i="13"/>
  <c r="N71" i="13"/>
  <c r="N69" i="13" s="1"/>
  <c r="M71" i="13"/>
  <c r="M69" i="13" s="1"/>
  <c r="P69" i="13" s="1"/>
  <c r="L71" i="13"/>
  <c r="L69" i="13" s="1"/>
  <c r="O69" i="13" s="1"/>
  <c r="P70" i="13"/>
  <c r="O70" i="13"/>
  <c r="O67" i="13"/>
  <c r="N67" i="13"/>
  <c r="M67" i="13"/>
  <c r="P67" i="13" s="1"/>
  <c r="L67" i="13"/>
  <c r="J64" i="13"/>
  <c r="N61" i="13"/>
  <c r="N59" i="13" s="1"/>
  <c r="M61" i="13"/>
  <c r="P61" i="13" s="1"/>
  <c r="L61" i="13"/>
  <c r="P60" i="13"/>
  <c r="O60" i="13"/>
  <c r="N58" i="13"/>
  <c r="N56" i="13" s="1"/>
  <c r="M58" i="13"/>
  <c r="L58" i="13"/>
  <c r="P57" i="13"/>
  <c r="O57" i="13"/>
  <c r="N54" i="13"/>
  <c r="M54" i="13"/>
  <c r="P54" i="13" s="1"/>
  <c r="L54" i="13"/>
  <c r="O54" i="13" s="1"/>
  <c r="N49" i="13"/>
  <c r="N47" i="13" s="1"/>
  <c r="M49" i="13"/>
  <c r="M47" i="13" s="1"/>
  <c r="P47" i="13" s="1"/>
  <c r="L49" i="13"/>
  <c r="O49" i="13" s="1"/>
  <c r="P48" i="13"/>
  <c r="O48" i="13"/>
  <c r="L47" i="13"/>
  <c r="O47" i="13" s="1"/>
  <c r="N46" i="13"/>
  <c r="M46" i="13"/>
  <c r="M44" i="13" s="1"/>
  <c r="L46" i="13"/>
  <c r="P45" i="13"/>
  <c r="O45" i="13"/>
  <c r="O42" i="13"/>
  <c r="N42" i="13"/>
  <c r="M42" i="13"/>
  <c r="P42" i="13" s="1"/>
  <c r="L42" i="13"/>
  <c r="P36" i="13"/>
  <c r="N36" i="13"/>
  <c r="M36" i="13"/>
  <c r="P35" i="13"/>
  <c r="N35" i="13"/>
  <c r="M35" i="13"/>
  <c r="L35" i="13"/>
  <c r="O35" i="13" s="1"/>
  <c r="P34" i="13"/>
  <c r="N34" i="13"/>
  <c r="M34" i="13"/>
  <c r="N33" i="13"/>
  <c r="N30" i="13" s="1"/>
  <c r="O32" i="13"/>
  <c r="N32" i="13"/>
  <c r="N31" i="13" s="1"/>
  <c r="M32" i="13"/>
  <c r="P32" i="13" s="1"/>
  <c r="L32" i="13"/>
  <c r="N29" i="13"/>
  <c r="N28" i="13" s="1"/>
  <c r="L29" i="13"/>
  <c r="O29" i="13" s="1"/>
  <c r="O25" i="13"/>
  <c r="N25" i="13"/>
  <c r="M25" i="13"/>
  <c r="P25" i="13" s="1"/>
  <c r="L25" i="13"/>
  <c r="P22" i="13"/>
  <c r="N22" i="13"/>
  <c r="M22" i="13"/>
  <c r="L22" i="13"/>
  <c r="O22" i="13" s="1"/>
  <c r="M19" i="13"/>
  <c r="P19" i="13" s="1"/>
  <c r="N15" i="13"/>
  <c r="L15" i="13"/>
  <c r="O15" i="13" s="1"/>
  <c r="M12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P809" i="12"/>
  <c r="O809" i="12"/>
  <c r="P808" i="12"/>
  <c r="N808" i="12"/>
  <c r="M808" i="12"/>
  <c r="L808" i="12"/>
  <c r="O808" i="12" s="1"/>
  <c r="O807" i="12"/>
  <c r="M807" i="12"/>
  <c r="L807" i="12"/>
  <c r="P806" i="12"/>
  <c r="N806" i="12"/>
  <c r="M806" i="12"/>
  <c r="L806" i="12"/>
  <c r="K804" i="12"/>
  <c r="J804" i="12"/>
  <c r="K802" i="12"/>
  <c r="J801" i="12"/>
  <c r="J800" i="12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L791" i="12"/>
  <c r="O791" i="12" s="1"/>
  <c r="P790" i="12"/>
  <c r="O790" i="12"/>
  <c r="P789" i="12"/>
  <c r="N789" i="12"/>
  <c r="M789" i="12"/>
  <c r="L789" i="12"/>
  <c r="O789" i="12" s="1"/>
  <c r="M788" i="12"/>
  <c r="P787" i="12"/>
  <c r="N787" i="12"/>
  <c r="N786" i="12" s="1"/>
  <c r="M787" i="12"/>
  <c r="L787" i="12"/>
  <c r="J785" i="12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N773" i="12" s="1"/>
  <c r="P774" i="12"/>
  <c r="O774" i="12"/>
  <c r="O773" i="12"/>
  <c r="M773" i="12"/>
  <c r="P773" i="12" s="1"/>
  <c r="L773" i="12"/>
  <c r="P772" i="12"/>
  <c r="N772" i="12"/>
  <c r="N770" i="12" s="1"/>
  <c r="M772" i="12"/>
  <c r="L772" i="12"/>
  <c r="O772" i="12" s="1"/>
  <c r="O771" i="12"/>
  <c r="N771" i="12"/>
  <c r="M771" i="12"/>
  <c r="L771" i="12"/>
  <c r="L770" i="12"/>
  <c r="O770" i="12" s="1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N757" i="12" s="1"/>
  <c r="P758" i="12"/>
  <c r="O758" i="12"/>
  <c r="O757" i="12"/>
  <c r="M757" i="12"/>
  <c r="P757" i="12" s="1"/>
  <c r="L757" i="12"/>
  <c r="P756" i="12"/>
  <c r="N756" i="12"/>
  <c r="N754" i="12" s="1"/>
  <c r="M756" i="12"/>
  <c r="L756" i="12"/>
  <c r="O756" i="12" s="1"/>
  <c r="O755" i="12"/>
  <c r="N755" i="12"/>
  <c r="M755" i="12"/>
  <c r="L755" i="12"/>
  <c r="L754" i="12"/>
  <c r="O754" i="12" s="1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N740" i="12" s="1"/>
  <c r="P741" i="12"/>
  <c r="O741" i="12"/>
  <c r="O740" i="12"/>
  <c r="M740" i="12"/>
  <c r="P740" i="12" s="1"/>
  <c r="L740" i="12"/>
  <c r="P739" i="12"/>
  <c r="N739" i="12"/>
  <c r="N737" i="12" s="1"/>
  <c r="M739" i="12"/>
  <c r="L739" i="12"/>
  <c r="O739" i="12" s="1"/>
  <c r="O738" i="12"/>
  <c r="N738" i="12"/>
  <c r="M738" i="12"/>
  <c r="L738" i="12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P690" i="12"/>
  <c r="N690" i="12"/>
  <c r="N687" i="12" s="1"/>
  <c r="L690" i="12"/>
  <c r="O690" i="12" s="1"/>
  <c r="P688" i="12"/>
  <c r="N688" i="12"/>
  <c r="M688" i="12"/>
  <c r="M687" i="12"/>
  <c r="P686" i="12"/>
  <c r="N686" i="12"/>
  <c r="M686" i="12"/>
  <c r="L686" i="12"/>
  <c r="J679" i="12"/>
  <c r="J678" i="12" s="1"/>
  <c r="I678" i="12"/>
  <c r="K678" i="12" s="1"/>
  <c r="J675" i="12"/>
  <c r="I671" i="12"/>
  <c r="K671" i="12" s="1"/>
  <c r="I670" i="12"/>
  <c r="K670" i="12" s="1"/>
  <c r="J669" i="12"/>
  <c r="J654" i="12" s="1"/>
  <c r="I669" i="12"/>
  <c r="K673" i="12" s="1"/>
  <c r="P667" i="12"/>
  <c r="O667" i="12"/>
  <c r="P666" i="12"/>
  <c r="O666" i="12"/>
  <c r="P665" i="12"/>
  <c r="N665" i="12"/>
  <c r="M665" i="12"/>
  <c r="L665" i="12"/>
  <c r="O665" i="12" s="1"/>
  <c r="P660" i="12"/>
  <c r="N660" i="12"/>
  <c r="L660" i="12"/>
  <c r="L658" i="12" s="1"/>
  <c r="O658" i="12" s="1"/>
  <c r="P659" i="12"/>
  <c r="O659" i="12"/>
  <c r="N658" i="12"/>
  <c r="M658" i="12"/>
  <c r="P658" i="12" s="1"/>
  <c r="P657" i="12"/>
  <c r="N657" i="12"/>
  <c r="M657" i="12"/>
  <c r="O656" i="12"/>
  <c r="N656" i="12"/>
  <c r="M656" i="12"/>
  <c r="M655" i="12" s="1"/>
  <c r="P655" i="12" s="1"/>
  <c r="L656" i="12"/>
  <c r="N655" i="12"/>
  <c r="K652" i="12"/>
  <c r="J652" i="12"/>
  <c r="J651" i="12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L639" i="12"/>
  <c r="O639" i="12" s="1"/>
  <c r="N634" i="12"/>
  <c r="L634" i="12"/>
  <c r="L632" i="12" s="1"/>
  <c r="P633" i="12"/>
  <c r="O633" i="12"/>
  <c r="N632" i="12"/>
  <c r="N631" i="12"/>
  <c r="P630" i="12"/>
  <c r="N630" i="12"/>
  <c r="N629" i="12" s="1"/>
  <c r="M630" i="12"/>
  <c r="L630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J583" i="12"/>
  <c r="J577" i="12" s="1"/>
  <c r="J582" i="12"/>
  <c r="I577" i="12"/>
  <c r="K577" i="12" s="1"/>
  <c r="J576" i="12"/>
  <c r="J559" i="12" s="1"/>
  <c r="J543" i="12" s="1"/>
  <c r="I576" i="12"/>
  <c r="K576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O557" i="12" s="1"/>
  <c r="P556" i="12"/>
  <c r="O556" i="12"/>
  <c r="P555" i="12"/>
  <c r="N555" i="12"/>
  <c r="M555" i="12"/>
  <c r="L555" i="12"/>
  <c r="O555" i="12" s="1"/>
  <c r="N549" i="12"/>
  <c r="L549" i="12"/>
  <c r="O549" i="12" s="1"/>
  <c r="P548" i="12"/>
  <c r="O548" i="12"/>
  <c r="N547" i="12"/>
  <c r="N546" i="12"/>
  <c r="P545" i="12"/>
  <c r="N545" i="12"/>
  <c r="N544" i="12" s="1"/>
  <c r="M545" i="12"/>
  <c r="L545" i="12"/>
  <c r="O545" i="12" s="1"/>
  <c r="I542" i="12"/>
  <c r="K542" i="12" s="1"/>
  <c r="I541" i="12"/>
  <c r="K541" i="12" s="1"/>
  <c r="I540" i="12"/>
  <c r="I539" i="12"/>
  <c r="K539" i="12" s="1"/>
  <c r="I538" i="12"/>
  <c r="K538" i="12" s="1"/>
  <c r="I537" i="12"/>
  <c r="K537" i="12" s="1"/>
  <c r="P535" i="12"/>
  <c r="L535" i="12"/>
  <c r="O535" i="12" s="1"/>
  <c r="P534" i="12"/>
  <c r="O534" i="12"/>
  <c r="N533" i="12"/>
  <c r="M533" i="12"/>
  <c r="P533" i="12" s="1"/>
  <c r="P528" i="12"/>
  <c r="N528" i="12"/>
  <c r="N525" i="12" s="1"/>
  <c r="L528" i="12"/>
  <c r="O528" i="12" s="1"/>
  <c r="P527" i="12"/>
  <c r="O527" i="12"/>
  <c r="P526" i="12"/>
  <c r="N526" i="12"/>
  <c r="M526" i="12"/>
  <c r="L526" i="12"/>
  <c r="O526" i="12" s="1"/>
  <c r="M525" i="12"/>
  <c r="P525" i="12" s="1"/>
  <c r="P524" i="12"/>
  <c r="N524" i="12"/>
  <c r="M524" i="12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N504" i="12" s="1"/>
  <c r="P506" i="12"/>
  <c r="O506" i="12"/>
  <c r="P505" i="12"/>
  <c r="N505" i="12"/>
  <c r="M505" i="12"/>
  <c r="L505" i="12"/>
  <c r="O505" i="12" s="1"/>
  <c r="O504" i="12"/>
  <c r="M504" i="12"/>
  <c r="L504" i="12"/>
  <c r="P503" i="12"/>
  <c r="N503" i="12"/>
  <c r="M503" i="12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N470" i="12" s="1"/>
  <c r="L472" i="12"/>
  <c r="M472" i="12" s="1"/>
  <c r="P471" i="12"/>
  <c r="O471" i="12"/>
  <c r="N469" i="12"/>
  <c r="N467" i="12" s="1"/>
  <c r="O468" i="12"/>
  <c r="N468" i="12"/>
  <c r="M468" i="12"/>
  <c r="L468" i="12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K458" i="12"/>
  <c r="P456" i="12"/>
  <c r="L456" i="12"/>
  <c r="O456" i="12" s="1"/>
  <c r="P455" i="12"/>
  <c r="O455" i="12"/>
  <c r="N454" i="12"/>
  <c r="M454" i="12"/>
  <c r="P454" i="12" s="1"/>
  <c r="N449" i="12"/>
  <c r="N447" i="12" s="1"/>
  <c r="L449" i="12"/>
  <c r="O449" i="12" s="1"/>
  <c r="P448" i="12"/>
  <c r="O448" i="12"/>
  <c r="N446" i="12"/>
  <c r="O445" i="12"/>
  <c r="N445" i="12"/>
  <c r="M445" i="12"/>
  <c r="L445" i="12"/>
  <c r="N444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I433" i="12" s="1"/>
  <c r="J434" i="12"/>
  <c r="J418" i="12" s="1"/>
  <c r="P431" i="12"/>
  <c r="L431" i="12"/>
  <c r="P430" i="12"/>
  <c r="O430" i="12"/>
  <c r="P429" i="12"/>
  <c r="N429" i="12"/>
  <c r="M429" i="12"/>
  <c r="L429" i="12"/>
  <c r="O429" i="12" s="1"/>
  <c r="N424" i="12"/>
  <c r="L424" i="12"/>
  <c r="P423" i="12"/>
  <c r="O423" i="12"/>
  <c r="N422" i="12"/>
  <c r="N421" i="12"/>
  <c r="P420" i="12"/>
  <c r="N420" i="12"/>
  <c r="N419" i="12" s="1"/>
  <c r="M420" i="12"/>
  <c r="L420" i="12"/>
  <c r="O420" i="12" s="1"/>
  <c r="K413" i="12"/>
  <c r="K412" i="12"/>
  <c r="N410" i="12"/>
  <c r="N408" i="12" s="1"/>
  <c r="M410" i="12"/>
  <c r="L410" i="12"/>
  <c r="L408" i="12" s="1"/>
  <c r="O408" i="12" s="1"/>
  <c r="P409" i="12"/>
  <c r="O409" i="12"/>
  <c r="N407" i="12"/>
  <c r="N405" i="12" s="1"/>
  <c r="M407" i="12"/>
  <c r="L407" i="12"/>
  <c r="L405" i="12" s="1"/>
  <c r="O405" i="12" s="1"/>
  <c r="P406" i="12"/>
  <c r="O406" i="12"/>
  <c r="P403" i="12"/>
  <c r="N403" i="12"/>
  <c r="M403" i="12"/>
  <c r="L403" i="12"/>
  <c r="K401" i="12"/>
  <c r="J401" i="12"/>
  <c r="I401" i="12"/>
  <c r="K400" i="12"/>
  <c r="K399" i="12"/>
  <c r="N397" i="12"/>
  <c r="N395" i="12" s="1"/>
  <c r="M397" i="12"/>
  <c r="P397" i="12" s="1"/>
  <c r="L397" i="12"/>
  <c r="P396" i="12"/>
  <c r="O396" i="12"/>
  <c r="N394" i="12"/>
  <c r="N392" i="12" s="1"/>
  <c r="M394" i="12"/>
  <c r="P394" i="12" s="1"/>
  <c r="L394" i="12"/>
  <c r="L392" i="12" s="1"/>
  <c r="O392" i="12" s="1"/>
  <c r="P393" i="12"/>
  <c r="O393" i="12"/>
  <c r="P390" i="12"/>
  <c r="N390" i="12"/>
  <c r="M390" i="12"/>
  <c r="L390" i="12"/>
  <c r="O390" i="12" s="1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2" i="12" s="1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L353" i="12"/>
  <c r="L351" i="12" s="1"/>
  <c r="P352" i="12"/>
  <c r="O352" i="12"/>
  <c r="N350" i="12"/>
  <c r="N348" i="12" s="1"/>
  <c r="M350" i="12"/>
  <c r="L350" i="12"/>
  <c r="L348" i="12" s="1"/>
  <c r="P349" i="12"/>
  <c r="O349" i="12"/>
  <c r="P346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L336" i="12"/>
  <c r="O336" i="12" s="1"/>
  <c r="P335" i="12"/>
  <c r="O335" i="12"/>
  <c r="N333" i="12"/>
  <c r="N331" i="12" s="1"/>
  <c r="M333" i="12"/>
  <c r="M331" i="12" s="1"/>
  <c r="L333" i="12"/>
  <c r="P332" i="12"/>
  <c r="O332" i="12"/>
  <c r="N329" i="12"/>
  <c r="M329" i="12"/>
  <c r="L329" i="12"/>
  <c r="O329" i="12" s="1"/>
  <c r="I327" i="12"/>
  <c r="I325" i="12"/>
  <c r="K325" i="12" s="1"/>
  <c r="N323" i="12"/>
  <c r="N321" i="12" s="1"/>
  <c r="M323" i="12"/>
  <c r="P323" i="12" s="1"/>
  <c r="L323" i="12"/>
  <c r="O323" i="12" s="1"/>
  <c r="P322" i="12"/>
  <c r="O322" i="12"/>
  <c r="N320" i="12"/>
  <c r="N318" i="12" s="1"/>
  <c r="M320" i="12"/>
  <c r="P320" i="12" s="1"/>
  <c r="L320" i="12"/>
  <c r="O320" i="12" s="1"/>
  <c r="P319" i="12"/>
  <c r="O319" i="12"/>
  <c r="P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P306" i="12" s="1"/>
  <c r="L306" i="12"/>
  <c r="O306" i="12" s="1"/>
  <c r="P305" i="12"/>
  <c r="O305" i="12"/>
  <c r="N303" i="12"/>
  <c r="N301" i="12" s="1"/>
  <c r="M303" i="12"/>
  <c r="P303" i="12" s="1"/>
  <c r="L303" i="12"/>
  <c r="O303" i="12" s="1"/>
  <c r="P302" i="12"/>
  <c r="O302" i="12"/>
  <c r="P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K288" i="12" s="1"/>
  <c r="I287" i="12"/>
  <c r="K287" i="12" s="1"/>
  <c r="N285" i="12"/>
  <c r="N283" i="12" s="1"/>
  <c r="M285" i="12"/>
  <c r="P285" i="12" s="1"/>
  <c r="L285" i="12"/>
  <c r="P284" i="12"/>
  <c r="O284" i="12"/>
  <c r="M283" i="12"/>
  <c r="P283" i="12" s="1"/>
  <c r="N282" i="12"/>
  <c r="N280" i="12" s="1"/>
  <c r="M282" i="12"/>
  <c r="P282" i="12" s="1"/>
  <c r="L282" i="12"/>
  <c r="P281" i="12"/>
  <c r="O281" i="12"/>
  <c r="N278" i="12"/>
  <c r="M278" i="12"/>
  <c r="L278" i="12"/>
  <c r="O278" i="12" s="1"/>
  <c r="J276" i="12"/>
  <c r="I271" i="12"/>
  <c r="I260" i="12" s="1"/>
  <c r="K260" i="12" s="1"/>
  <c r="N269" i="12"/>
  <c r="N267" i="12" s="1"/>
  <c r="M269" i="12"/>
  <c r="P269" i="12" s="1"/>
  <c r="L269" i="12"/>
  <c r="O269" i="12" s="1"/>
  <c r="P268" i="12"/>
  <c r="O268" i="12"/>
  <c r="N266" i="12"/>
  <c r="N264" i="12" s="1"/>
  <c r="M266" i="12"/>
  <c r="P266" i="12" s="1"/>
  <c r="L266" i="12"/>
  <c r="P265" i="12"/>
  <c r="O265" i="12"/>
  <c r="P262" i="12"/>
  <c r="N262" i="12"/>
  <c r="M262" i="12"/>
  <c r="L262" i="12"/>
  <c r="J260" i="12"/>
  <c r="K258" i="12"/>
  <c r="K257" i="12"/>
  <c r="I255" i="12"/>
  <c r="L253" i="12"/>
  <c r="L249" i="12" s="1"/>
  <c r="O249" i="12" s="1"/>
  <c r="L252" i="12"/>
  <c r="L251" i="12"/>
  <c r="L250" i="12"/>
  <c r="P249" i="12"/>
  <c r="N249" i="12"/>
  <c r="J248" i="12"/>
  <c r="K247" i="12"/>
  <c r="K246" i="12"/>
  <c r="I244" i="12"/>
  <c r="L242" i="12"/>
  <c r="L241" i="12"/>
  <c r="L240" i="12"/>
  <c r="L229" i="12" s="1"/>
  <c r="L239" i="12"/>
  <c r="P238" i="12"/>
  <c r="N238" i="12"/>
  <c r="J237" i="12"/>
  <c r="J226" i="12" s="1"/>
  <c r="J180" i="12" s="1"/>
  <c r="K236" i="12"/>
  <c r="J236" i="12"/>
  <c r="I236" i="12"/>
  <c r="K235" i="12"/>
  <c r="J235" i="12"/>
  <c r="I235" i="12"/>
  <c r="J233" i="12"/>
  <c r="N231" i="12"/>
  <c r="N230" i="12"/>
  <c r="N229" i="12"/>
  <c r="N228" i="12"/>
  <c r="N227" i="12"/>
  <c r="I225" i="12"/>
  <c r="I224" i="12"/>
  <c r="K224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M187" i="12" s="1"/>
  <c r="P187" i="12" s="1"/>
  <c r="L189" i="12"/>
  <c r="O189" i="12" s="1"/>
  <c r="P188" i="12"/>
  <c r="O188" i="12"/>
  <c r="N186" i="12"/>
  <c r="N184" i="12" s="1"/>
  <c r="M186" i="12"/>
  <c r="L186" i="12"/>
  <c r="L184" i="12" s="1"/>
  <c r="P185" i="12"/>
  <c r="O185" i="12"/>
  <c r="O182" i="12"/>
  <c r="N182" i="12"/>
  <c r="M182" i="12"/>
  <c r="P182" i="12" s="1"/>
  <c r="L182" i="12"/>
  <c r="J177" i="12"/>
  <c r="J164" i="12" s="1"/>
  <c r="I176" i="12"/>
  <c r="I174" i="12" s="1"/>
  <c r="K174" i="12" s="1"/>
  <c r="J174" i="12"/>
  <c r="N173" i="12"/>
  <c r="N171" i="12" s="1"/>
  <c r="M173" i="12"/>
  <c r="L173" i="12"/>
  <c r="O173" i="12" s="1"/>
  <c r="P172" i="12"/>
  <c r="O172" i="12"/>
  <c r="L171" i="12"/>
  <c r="O171" i="12" s="1"/>
  <c r="N170" i="12"/>
  <c r="N168" i="12" s="1"/>
  <c r="M170" i="12"/>
  <c r="M168" i="12" s="1"/>
  <c r="L170" i="12"/>
  <c r="L167" i="12" s="1"/>
  <c r="L165" i="12" s="1"/>
  <c r="P169" i="12"/>
  <c r="O169" i="12"/>
  <c r="L168" i="12"/>
  <c r="O166" i="12"/>
  <c r="N166" i="12"/>
  <c r="M166" i="12"/>
  <c r="P166" i="12" s="1"/>
  <c r="L166" i="12"/>
  <c r="I159" i="12"/>
  <c r="K159" i="12" s="1"/>
  <c r="N157" i="12"/>
  <c r="N155" i="12" s="1"/>
  <c r="M157" i="12"/>
  <c r="P157" i="12" s="1"/>
  <c r="L157" i="12"/>
  <c r="O157" i="12" s="1"/>
  <c r="P156" i="12"/>
  <c r="O156" i="12"/>
  <c r="N154" i="12"/>
  <c r="N152" i="12" s="1"/>
  <c r="M154" i="12"/>
  <c r="P154" i="12" s="1"/>
  <c r="L154" i="12"/>
  <c r="O154" i="12" s="1"/>
  <c r="P153" i="12"/>
  <c r="O153" i="12"/>
  <c r="P150" i="12"/>
  <c r="N150" i="12"/>
  <c r="M150" i="12"/>
  <c r="L150" i="12"/>
  <c r="J148" i="12"/>
  <c r="I146" i="12"/>
  <c r="K146" i="12" s="1"/>
  <c r="I145" i="12"/>
  <c r="I144" i="12"/>
  <c r="N140" i="12"/>
  <c r="N138" i="12" s="1"/>
  <c r="M140" i="12"/>
  <c r="M138" i="12" s="1"/>
  <c r="P138" i="12" s="1"/>
  <c r="L140" i="12"/>
  <c r="O140" i="12" s="1"/>
  <c r="P139" i="12"/>
  <c r="O139" i="12"/>
  <c r="N137" i="12"/>
  <c r="N135" i="12" s="1"/>
  <c r="M137" i="12"/>
  <c r="M135" i="12" s="1"/>
  <c r="P135" i="12" s="1"/>
  <c r="L137" i="12"/>
  <c r="P136" i="12"/>
  <c r="O136" i="12"/>
  <c r="N133" i="12"/>
  <c r="M133" i="12"/>
  <c r="P133" i="12" s="1"/>
  <c r="L133" i="12"/>
  <c r="O133" i="12" s="1"/>
  <c r="J130" i="12"/>
  <c r="I130" i="12"/>
  <c r="K130" i="12" s="1"/>
  <c r="N127" i="12"/>
  <c r="N125" i="12" s="1"/>
  <c r="M127" i="12"/>
  <c r="P127" i="12" s="1"/>
  <c r="L127" i="12"/>
  <c r="O127" i="12" s="1"/>
  <c r="P126" i="12"/>
  <c r="O126" i="12"/>
  <c r="N124" i="12"/>
  <c r="N121" i="12" s="1"/>
  <c r="N119" i="12" s="1"/>
  <c r="M124" i="12"/>
  <c r="P124" i="12" s="1"/>
  <c r="L124" i="12"/>
  <c r="O124" i="12" s="1"/>
  <c r="P123" i="12"/>
  <c r="O123" i="12"/>
  <c r="L122" i="12"/>
  <c r="O122" i="12" s="1"/>
  <c r="N120" i="12"/>
  <c r="M120" i="12"/>
  <c r="P120" i="12" s="1"/>
  <c r="L120" i="12"/>
  <c r="O120" i="12" s="1"/>
  <c r="I116" i="12"/>
  <c r="K116" i="12" s="1"/>
  <c r="I115" i="12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I99" i="12"/>
  <c r="I87" i="12" s="1"/>
  <c r="J98" i="12"/>
  <c r="I98" i="12"/>
  <c r="I86" i="12" s="1"/>
  <c r="N96" i="12"/>
  <c r="N94" i="12" s="1"/>
  <c r="M96" i="12"/>
  <c r="P96" i="12" s="1"/>
  <c r="L96" i="12"/>
  <c r="P95" i="12"/>
  <c r="O95" i="12"/>
  <c r="N93" i="12"/>
  <c r="N91" i="12" s="1"/>
  <c r="M93" i="12"/>
  <c r="M90" i="12" s="1"/>
  <c r="M88" i="12" s="1"/>
  <c r="L93" i="12"/>
  <c r="L91" i="12" s="1"/>
  <c r="P92" i="12"/>
  <c r="O92" i="12"/>
  <c r="O89" i="12"/>
  <c r="N89" i="12"/>
  <c r="M89" i="12"/>
  <c r="P89" i="12" s="1"/>
  <c r="L89" i="12"/>
  <c r="J86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K78" i="12" s="1"/>
  <c r="J77" i="12"/>
  <c r="J65" i="12" s="1"/>
  <c r="J76" i="12"/>
  <c r="P74" i="12"/>
  <c r="N74" i="12"/>
  <c r="N72" i="12" s="1"/>
  <c r="M74" i="12"/>
  <c r="M72" i="12" s="1"/>
  <c r="P72" i="12" s="1"/>
  <c r="L74" i="12"/>
  <c r="O74" i="12" s="1"/>
  <c r="P73" i="12"/>
  <c r="O73" i="12"/>
  <c r="P71" i="12"/>
  <c r="N71" i="12"/>
  <c r="M71" i="12"/>
  <c r="M69" i="12" s="1"/>
  <c r="L71" i="12"/>
  <c r="P70" i="12"/>
  <c r="O70" i="12"/>
  <c r="P69" i="12"/>
  <c r="N69" i="12"/>
  <c r="N67" i="12"/>
  <c r="M67" i="12"/>
  <c r="P67" i="12" s="1"/>
  <c r="L67" i="12"/>
  <c r="O67" i="12" s="1"/>
  <c r="J64" i="12"/>
  <c r="N61" i="12"/>
  <c r="N59" i="12" s="1"/>
  <c r="M61" i="12"/>
  <c r="P61" i="12" s="1"/>
  <c r="L61" i="12"/>
  <c r="O61" i="12" s="1"/>
  <c r="P60" i="12"/>
  <c r="O60" i="12"/>
  <c r="N58" i="12"/>
  <c r="N56" i="12" s="1"/>
  <c r="M58" i="12"/>
  <c r="M56" i="12" s="1"/>
  <c r="L58" i="12"/>
  <c r="P57" i="12"/>
  <c r="O57" i="12"/>
  <c r="P54" i="12"/>
  <c r="O54" i="12"/>
  <c r="N54" i="12"/>
  <c r="M54" i="12"/>
  <c r="L54" i="12"/>
  <c r="N49" i="12"/>
  <c r="M49" i="12"/>
  <c r="M47" i="12" s="1"/>
  <c r="P47" i="12" s="1"/>
  <c r="L49" i="12"/>
  <c r="O49" i="12" s="1"/>
  <c r="P48" i="12"/>
  <c r="O48" i="12"/>
  <c r="N46" i="12"/>
  <c r="M46" i="12"/>
  <c r="M44" i="12" s="1"/>
  <c r="L46" i="12"/>
  <c r="P45" i="12"/>
  <c r="O45" i="12"/>
  <c r="N42" i="12"/>
  <c r="M42" i="12"/>
  <c r="L42" i="12"/>
  <c r="O42" i="12" s="1"/>
  <c r="P36" i="12"/>
  <c r="N36" i="12"/>
  <c r="M36" i="12"/>
  <c r="O35" i="12"/>
  <c r="N35" i="12"/>
  <c r="M35" i="12"/>
  <c r="P35" i="12" s="1"/>
  <c r="L35" i="12"/>
  <c r="N34" i="12"/>
  <c r="M34" i="12"/>
  <c r="P34" i="12" s="1"/>
  <c r="N33" i="12"/>
  <c r="P32" i="12"/>
  <c r="N32" i="12"/>
  <c r="N31" i="12" s="1"/>
  <c r="M32" i="12"/>
  <c r="L32" i="12"/>
  <c r="N30" i="12"/>
  <c r="N29" i="12"/>
  <c r="M29" i="12"/>
  <c r="P29" i="12" s="1"/>
  <c r="N28" i="12"/>
  <c r="P25" i="12"/>
  <c r="N25" i="12"/>
  <c r="M25" i="12"/>
  <c r="L25" i="12"/>
  <c r="O22" i="12"/>
  <c r="N22" i="12"/>
  <c r="N19" i="12" s="1"/>
  <c r="M22" i="12"/>
  <c r="P22" i="12" s="1"/>
  <c r="L22" i="12"/>
  <c r="N15" i="12"/>
  <c r="M15" i="12"/>
  <c r="P15" i="12" s="1"/>
  <c r="L12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P809" i="11"/>
  <c r="O809" i="11"/>
  <c r="N808" i="11"/>
  <c r="M808" i="11"/>
  <c r="P808" i="11" s="1"/>
  <c r="L808" i="11"/>
  <c r="O808" i="11" s="1"/>
  <c r="N807" i="11"/>
  <c r="N805" i="11" s="1"/>
  <c r="M807" i="11"/>
  <c r="P807" i="11" s="1"/>
  <c r="L807" i="11"/>
  <c r="O807" i="11" s="1"/>
  <c r="P806" i="11"/>
  <c r="N806" i="11"/>
  <c r="M806" i="1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L791" i="11"/>
  <c r="P790" i="11"/>
  <c r="O790" i="11"/>
  <c r="M789" i="11"/>
  <c r="P789" i="11" s="1"/>
  <c r="M788" i="11"/>
  <c r="P788" i="11" s="1"/>
  <c r="P787" i="11"/>
  <c r="N787" i="11"/>
  <c r="M787" i="11"/>
  <c r="L787" i="11"/>
  <c r="P782" i="11"/>
  <c r="O782" i="11"/>
  <c r="P781" i="11"/>
  <c r="O781" i="11"/>
  <c r="P780" i="11"/>
  <c r="O780" i="11"/>
  <c r="N780" i="11"/>
  <c r="M780" i="11"/>
  <c r="L780" i="11"/>
  <c r="P775" i="11"/>
  <c r="O775" i="11"/>
  <c r="N775" i="11"/>
  <c r="N773" i="11" s="1"/>
  <c r="P774" i="11"/>
  <c r="O774" i="11"/>
  <c r="O773" i="11"/>
  <c r="M773" i="11"/>
  <c r="P773" i="11" s="1"/>
  <c r="L773" i="11"/>
  <c r="N772" i="11"/>
  <c r="M772" i="11"/>
  <c r="P772" i="11" s="1"/>
  <c r="L772" i="11"/>
  <c r="O772" i="11" s="1"/>
  <c r="N771" i="11"/>
  <c r="N770" i="11" s="1"/>
  <c r="M771" i="11"/>
  <c r="L771" i="11"/>
  <c r="O771" i="11" s="1"/>
  <c r="L770" i="11"/>
  <c r="O770" i="11" s="1"/>
  <c r="K769" i="11"/>
  <c r="J769" i="11"/>
  <c r="P766" i="11"/>
  <c r="O766" i="11"/>
  <c r="P765" i="11"/>
  <c r="O765" i="11"/>
  <c r="P764" i="11"/>
  <c r="O764" i="11"/>
  <c r="N764" i="11"/>
  <c r="M764" i="11"/>
  <c r="L764" i="11"/>
  <c r="P759" i="11"/>
  <c r="O759" i="11"/>
  <c r="N759" i="11"/>
  <c r="N757" i="11" s="1"/>
  <c r="P758" i="11"/>
  <c r="O758" i="11"/>
  <c r="O757" i="11"/>
  <c r="M757" i="11"/>
  <c r="P757" i="11" s="1"/>
  <c r="L757" i="11"/>
  <c r="N756" i="11"/>
  <c r="M756" i="11"/>
  <c r="P756" i="11" s="1"/>
  <c r="L756" i="11"/>
  <c r="O756" i="11" s="1"/>
  <c r="N755" i="11"/>
  <c r="M755" i="11"/>
  <c r="L755" i="11"/>
  <c r="O755" i="11" s="1"/>
  <c r="L754" i="11"/>
  <c r="O754" i="11" s="1"/>
  <c r="K753" i="11"/>
  <c r="J753" i="11"/>
  <c r="P749" i="11"/>
  <c r="O749" i="11"/>
  <c r="P748" i="11"/>
  <c r="O748" i="11"/>
  <c r="P747" i="11"/>
  <c r="O747" i="11"/>
  <c r="N747" i="11"/>
  <c r="M747" i="11"/>
  <c r="L747" i="11"/>
  <c r="P742" i="11"/>
  <c r="O742" i="11"/>
  <c r="N742" i="11"/>
  <c r="N740" i="11" s="1"/>
  <c r="P741" i="11"/>
  <c r="O741" i="11"/>
  <c r="O740" i="11"/>
  <c r="M740" i="11"/>
  <c r="P740" i="11" s="1"/>
  <c r="L740" i="11"/>
  <c r="N739" i="11"/>
  <c r="M739" i="11"/>
  <c r="P739" i="11" s="1"/>
  <c r="L739" i="11"/>
  <c r="O739" i="11" s="1"/>
  <c r="N738" i="11"/>
  <c r="N737" i="11" s="1"/>
  <c r="M738" i="11"/>
  <c r="L738" i="11"/>
  <c r="O738" i="11" s="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O695" i="11"/>
  <c r="N695" i="11"/>
  <c r="M695" i="11"/>
  <c r="L695" i="11"/>
  <c r="P690" i="11"/>
  <c r="N690" i="11"/>
  <c r="L690" i="11"/>
  <c r="N688" i="11"/>
  <c r="M688" i="11"/>
  <c r="P688" i="11" s="1"/>
  <c r="N687" i="11"/>
  <c r="N685" i="11" s="1"/>
  <c r="M687" i="11"/>
  <c r="P687" i="11" s="1"/>
  <c r="P686" i="11"/>
  <c r="N686" i="11"/>
  <c r="M686" i="11"/>
  <c r="L686" i="11"/>
  <c r="O686" i="11" s="1"/>
  <c r="J679" i="11"/>
  <c r="J678" i="11" s="1"/>
  <c r="I678" i="11"/>
  <c r="K678" i="11" s="1"/>
  <c r="J675" i="11"/>
  <c r="J669" i="11" s="1"/>
  <c r="J654" i="11" s="1"/>
  <c r="I671" i="11"/>
  <c r="K671" i="11" s="1"/>
  <c r="I670" i="11"/>
  <c r="K670" i="11" s="1"/>
  <c r="I669" i="11"/>
  <c r="K673" i="11" s="1"/>
  <c r="P667" i="11"/>
  <c r="O667" i="11"/>
  <c r="P666" i="11"/>
  <c r="O666" i="11"/>
  <c r="N665" i="11"/>
  <c r="M665" i="11"/>
  <c r="P665" i="11" s="1"/>
  <c r="L665" i="11"/>
  <c r="O665" i="11" s="1"/>
  <c r="N660" i="11"/>
  <c r="N658" i="11" s="1"/>
  <c r="L660" i="11"/>
  <c r="M660" i="11" s="1"/>
  <c r="M658" i="11" s="1"/>
  <c r="P659" i="11"/>
  <c r="O659" i="11"/>
  <c r="N657" i="11"/>
  <c r="P656" i="11"/>
  <c r="O656" i="11"/>
  <c r="N656" i="11"/>
  <c r="N655" i="11" s="1"/>
  <c r="M656" i="11"/>
  <c r="L656" i="11"/>
  <c r="I654" i="1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P639" i="11"/>
  <c r="N639" i="11"/>
  <c r="M639" i="11"/>
  <c r="N634" i="11"/>
  <c r="N632" i="11" s="1"/>
  <c r="L634" i="11"/>
  <c r="P633" i="11"/>
  <c r="O633" i="11"/>
  <c r="N631" i="11"/>
  <c r="N630" i="11"/>
  <c r="M630" i="11"/>
  <c r="P630" i="11" s="1"/>
  <c r="L630" i="11"/>
  <c r="O630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I594" i="11"/>
  <c r="K594" i="11" s="1"/>
  <c r="J593" i="11"/>
  <c r="J592" i="11" s="1"/>
  <c r="I593" i="11"/>
  <c r="I592" i="11" s="1"/>
  <c r="K592" i="11" s="1"/>
  <c r="J583" i="11"/>
  <c r="J577" i="11" s="1"/>
  <c r="J582" i="11"/>
  <c r="J576" i="11" s="1"/>
  <c r="J559" i="11" s="1"/>
  <c r="J543" i="11" s="1"/>
  <c r="I577" i="11"/>
  <c r="I576" i="11"/>
  <c r="J569" i="11"/>
  <c r="I569" i="11"/>
  <c r="K569" i="11" s="1"/>
  <c r="J568" i="11"/>
  <c r="I568" i="11"/>
  <c r="J561" i="11"/>
  <c r="I561" i="11"/>
  <c r="J560" i="11"/>
  <c r="I560" i="11"/>
  <c r="K560" i="11" s="1"/>
  <c r="P557" i="11"/>
  <c r="L557" i="11"/>
  <c r="L555" i="11" s="1"/>
  <c r="O555" i="11" s="1"/>
  <c r="P556" i="11"/>
  <c r="O556" i="11"/>
  <c r="N555" i="11"/>
  <c r="N545" i="11" s="1"/>
  <c r="M555" i="11"/>
  <c r="N549" i="11"/>
  <c r="L549" i="11"/>
  <c r="M549" i="11" s="1"/>
  <c r="P548" i="11"/>
  <c r="O548" i="11"/>
  <c r="N547" i="11"/>
  <c r="N546" i="11"/>
  <c r="O545" i="11"/>
  <c r="L545" i="11"/>
  <c r="N544" i="11"/>
  <c r="I542" i="11"/>
  <c r="K542" i="11" s="1"/>
  <c r="I541" i="11"/>
  <c r="K541" i="11" s="1"/>
  <c r="I540" i="11"/>
  <c r="K540" i="11" s="1"/>
  <c r="I539" i="11"/>
  <c r="K539" i="11" s="1"/>
  <c r="I538" i="11"/>
  <c r="I537" i="11"/>
  <c r="I522" i="11" s="1"/>
  <c r="K522" i="11" s="1"/>
  <c r="P535" i="11"/>
  <c r="L535" i="11"/>
  <c r="P534" i="11"/>
  <c r="O534" i="11"/>
  <c r="P533" i="11"/>
  <c r="N533" i="11"/>
  <c r="M533" i="11"/>
  <c r="L533" i="11"/>
  <c r="O533" i="11" s="1"/>
  <c r="P528" i="11"/>
  <c r="N528" i="11"/>
  <c r="L528" i="11"/>
  <c r="O528" i="11" s="1"/>
  <c r="P527" i="11"/>
  <c r="O527" i="11"/>
  <c r="P526" i="11"/>
  <c r="N526" i="11"/>
  <c r="M526" i="11"/>
  <c r="L526" i="11"/>
  <c r="O526" i="11" s="1"/>
  <c r="P525" i="11"/>
  <c r="N525" i="11"/>
  <c r="M525" i="11"/>
  <c r="P524" i="11"/>
  <c r="O524" i="11"/>
  <c r="N524" i="11"/>
  <c r="M524" i="11"/>
  <c r="M523" i="11" s="1"/>
  <c r="P523" i="11" s="1"/>
  <c r="L524" i="11"/>
  <c r="N523" i="11"/>
  <c r="K517" i="11"/>
  <c r="J517" i="11"/>
  <c r="K516" i="11"/>
  <c r="P514" i="11"/>
  <c r="O514" i="11"/>
  <c r="P513" i="11"/>
  <c r="O513" i="11"/>
  <c r="P512" i="11"/>
  <c r="N512" i="11"/>
  <c r="M512" i="11"/>
  <c r="L512" i="11"/>
  <c r="O512" i="11" s="1"/>
  <c r="P507" i="11"/>
  <c r="O507" i="11"/>
  <c r="N507" i="11"/>
  <c r="N505" i="11" s="1"/>
  <c r="P506" i="11"/>
  <c r="O506" i="11"/>
  <c r="O505" i="11"/>
  <c r="M505" i="11"/>
  <c r="P505" i="11" s="1"/>
  <c r="L505" i="11"/>
  <c r="O504" i="11"/>
  <c r="N504" i="11"/>
  <c r="M504" i="11"/>
  <c r="P504" i="11" s="1"/>
  <c r="L504" i="11"/>
  <c r="N503" i="11"/>
  <c r="N502" i="11" s="1"/>
  <c r="M503" i="11"/>
  <c r="P503" i="11" s="1"/>
  <c r="L503" i="11"/>
  <c r="O503" i="11" s="1"/>
  <c r="P502" i="11"/>
  <c r="M502" i="11"/>
  <c r="L502" i="11"/>
  <c r="O502" i="11" s="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L477" i="11" s="1"/>
  <c r="O477" i="11" s="1"/>
  <c r="P478" i="11"/>
  <c r="O478" i="11"/>
  <c r="P477" i="11"/>
  <c r="N477" i="11"/>
  <c r="M477" i="11"/>
  <c r="N472" i="11"/>
  <c r="L472" i="11"/>
  <c r="L470" i="11" s="1"/>
  <c r="P471" i="11"/>
  <c r="O471" i="11"/>
  <c r="N470" i="11"/>
  <c r="N469" i="11"/>
  <c r="O468" i="11"/>
  <c r="N468" i="11"/>
  <c r="N467" i="11" s="1"/>
  <c r="M468" i="11"/>
  <c r="P468" i="11" s="1"/>
  <c r="L468" i="11"/>
  <c r="J466" i="11"/>
  <c r="I466" i="11"/>
  <c r="K466" i="11" s="1"/>
  <c r="J465" i="11"/>
  <c r="I465" i="11"/>
  <c r="I464" i="11"/>
  <c r="I463" i="11"/>
  <c r="I462" i="11"/>
  <c r="K462" i="11" s="1"/>
  <c r="I460" i="11"/>
  <c r="I442" i="11" s="1"/>
  <c r="K442" i="11" s="1"/>
  <c r="K458" i="11"/>
  <c r="P456" i="11"/>
  <c r="L456" i="11"/>
  <c r="P455" i="11"/>
  <c r="O455" i="11"/>
  <c r="P454" i="11"/>
  <c r="N454" i="11"/>
  <c r="M454" i="11"/>
  <c r="L454" i="11"/>
  <c r="O454" i="11" s="1"/>
  <c r="P449" i="11"/>
  <c r="N449" i="11"/>
  <c r="L449" i="11"/>
  <c r="L447" i="11" s="1"/>
  <c r="O447" i="11" s="1"/>
  <c r="P448" i="11"/>
  <c r="O448" i="11"/>
  <c r="P447" i="11"/>
  <c r="N447" i="11"/>
  <c r="M447" i="11"/>
  <c r="P446" i="11"/>
  <c r="N446" i="11"/>
  <c r="M446" i="11"/>
  <c r="P445" i="11"/>
  <c r="O445" i="11"/>
  <c r="N445" i="11"/>
  <c r="M445" i="11"/>
  <c r="M444" i="11" s="1"/>
  <c r="P444" i="11" s="1"/>
  <c r="L445" i="11"/>
  <c r="N444" i="11"/>
  <c r="J443" i="11"/>
  <c r="I443" i="11"/>
  <c r="K443" i="11" s="1"/>
  <c r="J442" i="11"/>
  <c r="I441" i="11"/>
  <c r="K441" i="11" s="1"/>
  <c r="I440" i="11"/>
  <c r="K440" i="11" s="1"/>
  <c r="I439" i="11"/>
  <c r="K439" i="11" s="1"/>
  <c r="I438" i="11"/>
  <c r="K438" i="11" s="1"/>
  <c r="K437" i="11"/>
  <c r="I437" i="11"/>
  <c r="I435" i="11"/>
  <c r="I433" i="11" s="1"/>
  <c r="J434" i="11"/>
  <c r="P431" i="11"/>
  <c r="L431" i="11"/>
  <c r="O431" i="11" s="1"/>
  <c r="P430" i="11"/>
  <c r="O430" i="11"/>
  <c r="N429" i="11"/>
  <c r="M429" i="11"/>
  <c r="P429" i="11" s="1"/>
  <c r="N424" i="11"/>
  <c r="N422" i="11" s="1"/>
  <c r="L424" i="11"/>
  <c r="P423" i="11"/>
  <c r="O423" i="11"/>
  <c r="N421" i="11"/>
  <c r="P420" i="11"/>
  <c r="O420" i="11"/>
  <c r="N420" i="11"/>
  <c r="N419" i="11" s="1"/>
  <c r="M420" i="11"/>
  <c r="L420" i="11"/>
  <c r="J418" i="11"/>
  <c r="K413" i="11"/>
  <c r="K412" i="11"/>
  <c r="N410" i="11"/>
  <c r="N408" i="11" s="1"/>
  <c r="M410" i="11"/>
  <c r="M408" i="11" s="1"/>
  <c r="P408" i="11" s="1"/>
  <c r="L410" i="11"/>
  <c r="L408" i="11" s="1"/>
  <c r="O408" i="11" s="1"/>
  <c r="P409" i="11"/>
  <c r="O409" i="11"/>
  <c r="N407" i="11"/>
  <c r="N405" i="11" s="1"/>
  <c r="M407" i="11"/>
  <c r="L407" i="11"/>
  <c r="L405" i="11" s="1"/>
  <c r="O405" i="11" s="1"/>
  <c r="P406" i="11"/>
  <c r="O406" i="11"/>
  <c r="N403" i="11"/>
  <c r="M403" i="11"/>
  <c r="P403" i="11" s="1"/>
  <c r="L403" i="11"/>
  <c r="K401" i="11"/>
  <c r="J401" i="11"/>
  <c r="I401" i="11"/>
  <c r="K400" i="11"/>
  <c r="K399" i="11"/>
  <c r="N397" i="11"/>
  <c r="N395" i="11" s="1"/>
  <c r="M397" i="11"/>
  <c r="P397" i="11" s="1"/>
  <c r="L397" i="11"/>
  <c r="P396" i="11"/>
  <c r="O396" i="11"/>
  <c r="N394" i="11"/>
  <c r="N392" i="11" s="1"/>
  <c r="M394" i="11"/>
  <c r="P394" i="11" s="1"/>
  <c r="L394" i="11"/>
  <c r="O394" i="11" s="1"/>
  <c r="P393" i="11"/>
  <c r="O393" i="11"/>
  <c r="P390" i="11"/>
  <c r="N390" i="11"/>
  <c r="M390" i="11"/>
  <c r="L390" i="11"/>
  <c r="O390" i="11" s="1"/>
  <c r="J388" i="11"/>
  <c r="I388" i="11"/>
  <c r="K388" i="11" s="1"/>
  <c r="J385" i="11"/>
  <c r="I385" i="11"/>
  <c r="K382" i="11"/>
  <c r="J382" i="11"/>
  <c r="J381" i="11"/>
  <c r="I381" i="11"/>
  <c r="K380" i="11"/>
  <c r="J380" i="11"/>
  <c r="J379" i="11"/>
  <c r="I379" i="11"/>
  <c r="J378" i="11"/>
  <c r="I378" i="11"/>
  <c r="K378" i="11" s="1"/>
  <c r="K377" i="11"/>
  <c r="J377" i="11"/>
  <c r="J374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L351" i="11" s="1"/>
  <c r="P352" i="11"/>
  <c r="O352" i="11"/>
  <c r="N350" i="11"/>
  <c r="N348" i="11" s="1"/>
  <c r="M350" i="11"/>
  <c r="L350" i="11"/>
  <c r="L348" i="11" s="1"/>
  <c r="P349" i="11"/>
  <c r="O349" i="11"/>
  <c r="P346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M336" i="11"/>
  <c r="P336" i="11" s="1"/>
  <c r="L336" i="11"/>
  <c r="P335" i="11"/>
  <c r="O335" i="11"/>
  <c r="N333" i="11"/>
  <c r="N331" i="11" s="1"/>
  <c r="M333" i="11"/>
  <c r="M331" i="11" s="1"/>
  <c r="L333" i="11"/>
  <c r="P332" i="11"/>
  <c r="O332" i="11"/>
  <c r="L331" i="11"/>
  <c r="P329" i="11"/>
  <c r="N329" i="11"/>
  <c r="M329" i="11"/>
  <c r="L329" i="11"/>
  <c r="O329" i="11" s="1"/>
  <c r="I327" i="11"/>
  <c r="I325" i="11"/>
  <c r="K325" i="11" s="1"/>
  <c r="N323" i="11"/>
  <c r="M323" i="11"/>
  <c r="L323" i="11"/>
  <c r="P322" i="11"/>
  <c r="O322" i="11"/>
  <c r="N320" i="11"/>
  <c r="N318" i="11" s="1"/>
  <c r="M320" i="11"/>
  <c r="L320" i="11"/>
  <c r="P319" i="11"/>
  <c r="O319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M304" i="11" s="1"/>
  <c r="P304" i="11" s="1"/>
  <c r="L306" i="11"/>
  <c r="O306" i="11" s="1"/>
  <c r="P305" i="11"/>
  <c r="O305" i="11"/>
  <c r="N303" i="11"/>
  <c r="M303" i="11"/>
  <c r="P303" i="11" s="1"/>
  <c r="L303" i="11"/>
  <c r="O303" i="11" s="1"/>
  <c r="P302" i="11"/>
  <c r="O302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K288" i="11" s="1"/>
  <c r="I287" i="11"/>
  <c r="K287" i="11" s="1"/>
  <c r="N285" i="11"/>
  <c r="N283" i="11" s="1"/>
  <c r="M285" i="11"/>
  <c r="P285" i="11" s="1"/>
  <c r="L285" i="11"/>
  <c r="O285" i="11" s="1"/>
  <c r="P284" i="11"/>
  <c r="O284" i="11"/>
  <c r="N282" i="11"/>
  <c r="N280" i="11" s="1"/>
  <c r="M282" i="11"/>
  <c r="P282" i="11" s="1"/>
  <c r="L282" i="11"/>
  <c r="O282" i="11" s="1"/>
  <c r="P281" i="11"/>
  <c r="O281" i="11"/>
  <c r="P278" i="11"/>
  <c r="N278" i="11"/>
  <c r="M278" i="11"/>
  <c r="L278" i="11"/>
  <c r="O278" i="11" s="1"/>
  <c r="J276" i="11"/>
  <c r="I271" i="11"/>
  <c r="K271" i="11" s="1"/>
  <c r="N269" i="11"/>
  <c r="N267" i="11" s="1"/>
  <c r="M269" i="11"/>
  <c r="M267" i="11" s="1"/>
  <c r="P267" i="11" s="1"/>
  <c r="L269" i="11"/>
  <c r="L267" i="11" s="1"/>
  <c r="O267" i="11" s="1"/>
  <c r="P268" i="11"/>
  <c r="O268" i="11"/>
  <c r="N266" i="11"/>
  <c r="N264" i="11" s="1"/>
  <c r="M266" i="11"/>
  <c r="M264" i="11" s="1"/>
  <c r="L266" i="11"/>
  <c r="L264" i="11" s="1"/>
  <c r="P265" i="11"/>
  <c r="O265" i="11"/>
  <c r="N262" i="11"/>
  <c r="M262" i="11"/>
  <c r="L262" i="11"/>
  <c r="J260" i="11"/>
  <c r="K258" i="11"/>
  <c r="K257" i="11"/>
  <c r="I255" i="11"/>
  <c r="I248" i="11" s="1"/>
  <c r="K248" i="11" s="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J237" i="11"/>
  <c r="J236" i="11"/>
  <c r="I236" i="11"/>
  <c r="K236" i="11" s="1"/>
  <c r="K235" i="11"/>
  <c r="J235" i="11"/>
  <c r="I235" i="11"/>
  <c r="J233" i="11"/>
  <c r="N231" i="11"/>
  <c r="N230" i="11"/>
  <c r="N229" i="11"/>
  <c r="N228" i="11"/>
  <c r="N227" i="11"/>
  <c r="J226" i="11"/>
  <c r="I225" i="11"/>
  <c r="K225" i="11" s="1"/>
  <c r="I224" i="11"/>
  <c r="I223" i="11"/>
  <c r="K223" i="11" s="1"/>
  <c r="L220" i="11"/>
  <c r="L219" i="11"/>
  <c r="L218" i="11"/>
  <c r="P217" i="11"/>
  <c r="N217" i="11"/>
  <c r="J216" i="11"/>
  <c r="I215" i="11"/>
  <c r="I208" i="11" s="1"/>
  <c r="K208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I190" i="11" s="1"/>
  <c r="K190" i="11" s="1"/>
  <c r="P191" i="11"/>
  <c r="L191" i="11"/>
  <c r="O191" i="11" s="1"/>
  <c r="J190" i="11"/>
  <c r="N189" i="11"/>
  <c r="N187" i="11" s="1"/>
  <c r="M189" i="11"/>
  <c r="P189" i="11" s="1"/>
  <c r="L189" i="11"/>
  <c r="P188" i="11"/>
  <c r="O188" i="11"/>
  <c r="N186" i="11"/>
  <c r="M186" i="11"/>
  <c r="L186" i="11"/>
  <c r="P185" i="11"/>
  <c r="O185" i="11"/>
  <c r="P182" i="11"/>
  <c r="O182" i="11"/>
  <c r="N182" i="11"/>
  <c r="M182" i="11"/>
  <c r="L182" i="11"/>
  <c r="J180" i="11"/>
  <c r="J177" i="11"/>
  <c r="I176" i="11"/>
  <c r="K176" i="11" s="1"/>
  <c r="J174" i="11"/>
  <c r="N173" i="11"/>
  <c r="N171" i="11" s="1"/>
  <c r="M173" i="11"/>
  <c r="P173" i="11" s="1"/>
  <c r="L173" i="11"/>
  <c r="O173" i="11" s="1"/>
  <c r="P172" i="11"/>
  <c r="O172" i="11"/>
  <c r="N170" i="11"/>
  <c r="M170" i="11"/>
  <c r="M168" i="11" s="1"/>
  <c r="L170" i="11"/>
  <c r="L168" i="11" s="1"/>
  <c r="P169" i="11"/>
  <c r="O169" i="11"/>
  <c r="O166" i="11"/>
  <c r="N166" i="11"/>
  <c r="M166" i="11"/>
  <c r="L166" i="11"/>
  <c r="J164" i="11"/>
  <c r="I159" i="11"/>
  <c r="K159" i="11" s="1"/>
  <c r="N157" i="11"/>
  <c r="M157" i="11"/>
  <c r="M155" i="11" s="1"/>
  <c r="P155" i="11" s="1"/>
  <c r="L157" i="11"/>
  <c r="L155" i="11" s="1"/>
  <c r="O155" i="11" s="1"/>
  <c r="P156" i="11"/>
  <c r="O156" i="11"/>
  <c r="N154" i="11"/>
  <c r="N152" i="11" s="1"/>
  <c r="M154" i="11"/>
  <c r="M152" i="11" s="1"/>
  <c r="P152" i="11" s="1"/>
  <c r="L154" i="11"/>
  <c r="L152" i="11" s="1"/>
  <c r="O152" i="11" s="1"/>
  <c r="P153" i="11"/>
  <c r="O153" i="11"/>
  <c r="O150" i="11"/>
  <c r="N150" i="11"/>
  <c r="M150" i="11"/>
  <c r="L150" i="11"/>
  <c r="J148" i="11"/>
  <c r="I146" i="11"/>
  <c r="K146" i="11" s="1"/>
  <c r="I145" i="11"/>
  <c r="I143" i="11" s="1"/>
  <c r="I144" i="11"/>
  <c r="K144" i="11" s="1"/>
  <c r="N140" i="11"/>
  <c r="N138" i="11" s="1"/>
  <c r="M140" i="11"/>
  <c r="M138" i="11" s="1"/>
  <c r="P138" i="11" s="1"/>
  <c r="L140" i="11"/>
  <c r="O140" i="11" s="1"/>
  <c r="P139" i="11"/>
  <c r="O139" i="11"/>
  <c r="N137" i="11"/>
  <c r="M137" i="11"/>
  <c r="M135" i="11" s="1"/>
  <c r="P135" i="11" s="1"/>
  <c r="L137" i="11"/>
  <c r="O137" i="11" s="1"/>
  <c r="P136" i="11"/>
  <c r="O136" i="11"/>
  <c r="P133" i="11"/>
  <c r="O133" i="11"/>
  <c r="N133" i="11"/>
  <c r="M133" i="11"/>
  <c r="L133" i="11"/>
  <c r="J130" i="11"/>
  <c r="I130" i="11"/>
  <c r="K130" i="11" s="1"/>
  <c r="N127" i="11"/>
  <c r="N125" i="11" s="1"/>
  <c r="M127" i="11"/>
  <c r="M125" i="11" s="1"/>
  <c r="P125" i="11" s="1"/>
  <c r="L127" i="11"/>
  <c r="O127" i="11" s="1"/>
  <c r="P126" i="11"/>
  <c r="O126" i="11"/>
  <c r="N124" i="11"/>
  <c r="M124" i="11"/>
  <c r="M122" i="11" s="1"/>
  <c r="P122" i="11" s="1"/>
  <c r="L124" i="11"/>
  <c r="L122" i="11" s="1"/>
  <c r="O122" i="11" s="1"/>
  <c r="P123" i="11"/>
  <c r="O123" i="11"/>
  <c r="O120" i="11"/>
  <c r="N120" i="11"/>
  <c r="M120" i="11"/>
  <c r="L120" i="11"/>
  <c r="I116" i="11"/>
  <c r="K116" i="11" s="1"/>
  <c r="I115" i="11"/>
  <c r="I114" i="11"/>
  <c r="K114" i="11" s="1"/>
  <c r="I113" i="11"/>
  <c r="K113" i="11" s="1"/>
  <c r="J112" i="11"/>
  <c r="J111" i="11"/>
  <c r="I111" i="1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K99" i="11" s="1"/>
  <c r="J98" i="11"/>
  <c r="J86" i="11" s="1"/>
  <c r="I98" i="11"/>
  <c r="I86" i="11" s="1"/>
  <c r="K86" i="11" s="1"/>
  <c r="N96" i="11"/>
  <c r="N94" i="11" s="1"/>
  <c r="M96" i="11"/>
  <c r="P96" i="11" s="1"/>
  <c r="L96" i="11"/>
  <c r="O96" i="11" s="1"/>
  <c r="P95" i="11"/>
  <c r="O95" i="11"/>
  <c r="N93" i="11"/>
  <c r="N91" i="11" s="1"/>
  <c r="M93" i="11"/>
  <c r="L93" i="11"/>
  <c r="L91" i="11" s="1"/>
  <c r="P92" i="11"/>
  <c r="O92" i="11"/>
  <c r="P89" i="11"/>
  <c r="N89" i="11"/>
  <c r="M89" i="11"/>
  <c r="L89" i="11"/>
  <c r="O89" i="11" s="1"/>
  <c r="J87" i="11"/>
  <c r="I84" i="11"/>
  <c r="K84" i="11" s="1"/>
  <c r="I83" i="11"/>
  <c r="K83" i="11" s="1"/>
  <c r="I82" i="11"/>
  <c r="K82" i="11" s="1"/>
  <c r="I81" i="11"/>
  <c r="I80" i="11"/>
  <c r="K80" i="11" s="1"/>
  <c r="I79" i="11"/>
  <c r="K79" i="11" s="1"/>
  <c r="I78" i="11"/>
  <c r="K78" i="11" s="1"/>
  <c r="J77" i="11"/>
  <c r="J76" i="11"/>
  <c r="J64" i="11" s="1"/>
  <c r="N74" i="11"/>
  <c r="N72" i="11" s="1"/>
  <c r="M74" i="11"/>
  <c r="P74" i="11" s="1"/>
  <c r="L74" i="11"/>
  <c r="O74" i="11" s="1"/>
  <c r="P73" i="11"/>
  <c r="O73" i="11"/>
  <c r="N71" i="11"/>
  <c r="N69" i="11" s="1"/>
  <c r="M71" i="11"/>
  <c r="L71" i="11"/>
  <c r="O71" i="11" s="1"/>
  <c r="P70" i="11"/>
  <c r="O70" i="11"/>
  <c r="P67" i="11"/>
  <c r="O67" i="11"/>
  <c r="N67" i="11"/>
  <c r="M67" i="11"/>
  <c r="L67" i="11"/>
  <c r="J65" i="11"/>
  <c r="N61" i="11"/>
  <c r="N59" i="11" s="1"/>
  <c r="M61" i="11"/>
  <c r="M59" i="11" s="1"/>
  <c r="L61" i="11"/>
  <c r="L59" i="11" s="1"/>
  <c r="P60" i="11"/>
  <c r="O60" i="11"/>
  <c r="N58" i="11"/>
  <c r="N56" i="11" s="1"/>
  <c r="M58" i="11"/>
  <c r="M56" i="11" s="1"/>
  <c r="L58" i="11"/>
  <c r="L56" i="11" s="1"/>
  <c r="P57" i="11"/>
  <c r="O57" i="11"/>
  <c r="N54" i="11"/>
  <c r="M54" i="11"/>
  <c r="P54" i="11" s="1"/>
  <c r="L54" i="11"/>
  <c r="O54" i="11" s="1"/>
  <c r="N49" i="11"/>
  <c r="M49" i="11"/>
  <c r="L49" i="11"/>
  <c r="O49" i="11" s="1"/>
  <c r="P48" i="11"/>
  <c r="O48" i="11"/>
  <c r="N46" i="11"/>
  <c r="M46" i="11"/>
  <c r="M44" i="11" s="1"/>
  <c r="L46" i="11"/>
  <c r="L44" i="11" s="1"/>
  <c r="P45" i="11"/>
  <c r="O45" i="11"/>
  <c r="P42" i="11"/>
  <c r="O42" i="11"/>
  <c r="N42" i="11"/>
  <c r="M42" i="11"/>
  <c r="L42" i="11"/>
  <c r="N36" i="11"/>
  <c r="N34" i="11" s="1"/>
  <c r="M36" i="11"/>
  <c r="P36" i="11" s="1"/>
  <c r="N35" i="11"/>
  <c r="M35" i="11"/>
  <c r="P35" i="11" s="1"/>
  <c r="L35" i="11"/>
  <c r="O35" i="11" s="1"/>
  <c r="P32" i="11"/>
  <c r="O32" i="11"/>
  <c r="N32" i="11"/>
  <c r="N29" i="11" s="1"/>
  <c r="M32" i="11"/>
  <c r="L32" i="11"/>
  <c r="M29" i="11"/>
  <c r="P29" i="11" s="1"/>
  <c r="L29" i="11"/>
  <c r="O29" i="11" s="1"/>
  <c r="P25" i="11"/>
  <c r="O25" i="11"/>
  <c r="N25" i="11"/>
  <c r="N15" i="11" s="1"/>
  <c r="M25" i="11"/>
  <c r="L25" i="11"/>
  <c r="N22" i="11"/>
  <c r="M22" i="11"/>
  <c r="P22" i="11" s="1"/>
  <c r="L22" i="11"/>
  <c r="O22" i="11" s="1"/>
  <c r="N19" i="11"/>
  <c r="M15" i="11"/>
  <c r="P15" i="11" s="1"/>
  <c r="L15" i="11"/>
  <c r="O15" i="11" s="1"/>
  <c r="N12" i="11"/>
  <c r="N9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P809" i="10"/>
  <c r="O809" i="10"/>
  <c r="O808" i="10"/>
  <c r="N808" i="10"/>
  <c r="M808" i="10"/>
  <c r="P808" i="10" s="1"/>
  <c r="L808" i="10"/>
  <c r="N807" i="10"/>
  <c r="N805" i="10" s="1"/>
  <c r="M807" i="10"/>
  <c r="P807" i="10" s="1"/>
  <c r="L807" i="10"/>
  <c r="O807" i="10" s="1"/>
  <c r="N806" i="10"/>
  <c r="M806" i="10"/>
  <c r="P806" i="10" s="1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P796" i="10"/>
  <c r="O796" i="10"/>
  <c r="N796" i="10"/>
  <c r="M796" i="10"/>
  <c r="L796" i="10"/>
  <c r="P791" i="10"/>
  <c r="N791" i="10"/>
  <c r="L791" i="10"/>
  <c r="L788" i="10" s="1"/>
  <c r="O788" i="10" s="1"/>
  <c r="P790" i="10"/>
  <c r="O790" i="10"/>
  <c r="M789" i="10"/>
  <c r="P789" i="10" s="1"/>
  <c r="M788" i="10"/>
  <c r="P788" i="10" s="1"/>
  <c r="N787" i="10"/>
  <c r="M787" i="10"/>
  <c r="P787" i="10" s="1"/>
  <c r="L787" i="10"/>
  <c r="P782" i="10"/>
  <c r="O782" i="10"/>
  <c r="P781" i="10"/>
  <c r="O781" i="10"/>
  <c r="P780" i="10"/>
  <c r="N780" i="10"/>
  <c r="M780" i="10"/>
  <c r="L780" i="10"/>
  <c r="O780" i="10" s="1"/>
  <c r="P775" i="10"/>
  <c r="O775" i="10"/>
  <c r="N775" i="10"/>
  <c r="N773" i="10" s="1"/>
  <c r="P774" i="10"/>
  <c r="O774" i="10"/>
  <c r="P773" i="10"/>
  <c r="O773" i="10"/>
  <c r="M773" i="10"/>
  <c r="L773" i="10"/>
  <c r="O772" i="10"/>
  <c r="N772" i="10"/>
  <c r="M772" i="10"/>
  <c r="P772" i="10" s="1"/>
  <c r="L772" i="10"/>
  <c r="N771" i="10"/>
  <c r="N770" i="10" s="1"/>
  <c r="M771" i="10"/>
  <c r="L771" i="10"/>
  <c r="O771" i="10" s="1"/>
  <c r="L770" i="10"/>
  <c r="O770" i="10" s="1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N757" i="10" s="1"/>
  <c r="P758" i="10"/>
  <c r="O758" i="10"/>
  <c r="P757" i="10"/>
  <c r="O757" i="10"/>
  <c r="M757" i="10"/>
  <c r="L757" i="10"/>
  <c r="O756" i="10"/>
  <c r="N756" i="10"/>
  <c r="M756" i="10"/>
  <c r="P756" i="10" s="1"/>
  <c r="L756" i="10"/>
  <c r="N755" i="10"/>
  <c r="M755" i="10"/>
  <c r="L755" i="10"/>
  <c r="O755" i="10" s="1"/>
  <c r="L754" i="10"/>
  <c r="O754" i="10" s="1"/>
  <c r="K753" i="10"/>
  <c r="J753" i="10"/>
  <c r="P749" i="10"/>
  <c r="O749" i="10"/>
  <c r="P748" i="10"/>
  <c r="O748" i="10"/>
  <c r="P747" i="10"/>
  <c r="N747" i="10"/>
  <c r="M747" i="10"/>
  <c r="L747" i="10"/>
  <c r="O747" i="10" s="1"/>
  <c r="P742" i="10"/>
  <c r="O742" i="10"/>
  <c r="N742" i="10"/>
  <c r="N740" i="10" s="1"/>
  <c r="P741" i="10"/>
  <c r="O741" i="10"/>
  <c r="P740" i="10"/>
  <c r="O740" i="10"/>
  <c r="M740" i="10"/>
  <c r="L740" i="10"/>
  <c r="O739" i="10"/>
  <c r="N739" i="10"/>
  <c r="M739" i="10"/>
  <c r="P739" i="10" s="1"/>
  <c r="L739" i="10"/>
  <c r="N738" i="10"/>
  <c r="N737" i="10" s="1"/>
  <c r="M738" i="10"/>
  <c r="L738" i="10"/>
  <c r="O738" i="10" s="1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N695" i="10"/>
  <c r="M695" i="10"/>
  <c r="L695" i="10"/>
  <c r="O695" i="10" s="1"/>
  <c r="P690" i="10"/>
  <c r="N690" i="10"/>
  <c r="L690" i="10"/>
  <c r="O690" i="10" s="1"/>
  <c r="N688" i="10"/>
  <c r="M688" i="10"/>
  <c r="P688" i="10" s="1"/>
  <c r="N687" i="10"/>
  <c r="M687" i="10"/>
  <c r="P687" i="10" s="1"/>
  <c r="N686" i="10"/>
  <c r="N685" i="10" s="1"/>
  <c r="M686" i="10"/>
  <c r="P686" i="10" s="1"/>
  <c r="L686" i="10"/>
  <c r="J679" i="10"/>
  <c r="J678" i="10" s="1"/>
  <c r="I678" i="10"/>
  <c r="K678" i="10" s="1"/>
  <c r="J675" i="10"/>
  <c r="J669" i="10" s="1"/>
  <c r="J654" i="10" s="1"/>
  <c r="I671" i="10"/>
  <c r="K671" i="10" s="1"/>
  <c r="I670" i="10"/>
  <c r="K670" i="10" s="1"/>
  <c r="I669" i="10"/>
  <c r="K674" i="10" s="1"/>
  <c r="P667" i="10"/>
  <c r="O667" i="10"/>
  <c r="P666" i="10"/>
  <c r="O666" i="10"/>
  <c r="N665" i="10"/>
  <c r="M665" i="10"/>
  <c r="P665" i="10" s="1"/>
  <c r="L665" i="10"/>
  <c r="O665" i="10" s="1"/>
  <c r="P660" i="10"/>
  <c r="N660" i="10"/>
  <c r="L660" i="10"/>
  <c r="O660" i="10" s="1"/>
  <c r="P659" i="10"/>
  <c r="O659" i="10"/>
  <c r="P658" i="10"/>
  <c r="N658" i="10"/>
  <c r="M658" i="10"/>
  <c r="L658" i="10"/>
  <c r="O658" i="10" s="1"/>
  <c r="P657" i="10"/>
  <c r="N657" i="10"/>
  <c r="M657" i="10"/>
  <c r="P656" i="10"/>
  <c r="O656" i="10"/>
  <c r="N656" i="10"/>
  <c r="M656" i="10"/>
  <c r="L656" i="10"/>
  <c r="N655" i="10"/>
  <c r="M655" i="10"/>
  <c r="P655" i="10" s="1"/>
  <c r="K652" i="10"/>
  <c r="J652" i="10"/>
  <c r="J651" i="10"/>
  <c r="J628" i="10" s="1"/>
  <c r="I651" i="10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N639" i="10"/>
  <c r="M639" i="10"/>
  <c r="P639" i="10" s="1"/>
  <c r="P634" i="10"/>
  <c r="N634" i="10"/>
  <c r="N631" i="10" s="1"/>
  <c r="N629" i="10" s="1"/>
  <c r="L634" i="10"/>
  <c r="P633" i="10"/>
  <c r="O633" i="10"/>
  <c r="N632" i="10"/>
  <c r="M632" i="10"/>
  <c r="P632" i="10" s="1"/>
  <c r="M631" i="10"/>
  <c r="P631" i="10" s="1"/>
  <c r="P630" i="10"/>
  <c r="N630" i="10"/>
  <c r="M630" i="10"/>
  <c r="L630" i="10"/>
  <c r="O630" i="10" s="1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3" i="10" s="1"/>
  <c r="J592" i="10" s="1"/>
  <c r="J594" i="10"/>
  <c r="I594" i="10"/>
  <c r="K594" i="10" s="1"/>
  <c r="I593" i="10"/>
  <c r="I592" i="10" s="1"/>
  <c r="K592" i="10" s="1"/>
  <c r="J583" i="10"/>
  <c r="J582" i="10"/>
  <c r="J577" i="10"/>
  <c r="I577" i="10"/>
  <c r="K577" i="10" s="1"/>
  <c r="J576" i="10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O557" i="10" s="1"/>
  <c r="P556" i="10"/>
  <c r="O556" i="10"/>
  <c r="P555" i="10"/>
  <c r="N555" i="10"/>
  <c r="M555" i="10"/>
  <c r="L555" i="10"/>
  <c r="O555" i="10" s="1"/>
  <c r="N549" i="10"/>
  <c r="L549" i="10"/>
  <c r="M549" i="10" s="1"/>
  <c r="P549" i="10" s="1"/>
  <c r="P548" i="10"/>
  <c r="O548" i="10"/>
  <c r="N546" i="10"/>
  <c r="P545" i="10"/>
  <c r="O545" i="10"/>
  <c r="N545" i="10"/>
  <c r="M545" i="10"/>
  <c r="L545" i="10"/>
  <c r="N544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P534" i="10"/>
  <c r="O534" i="10"/>
  <c r="P533" i="10"/>
  <c r="N533" i="10"/>
  <c r="M533" i="10"/>
  <c r="P528" i="10"/>
  <c r="N528" i="10"/>
  <c r="L528" i="10"/>
  <c r="L526" i="10" s="1"/>
  <c r="O526" i="10" s="1"/>
  <c r="P527" i="10"/>
  <c r="O527" i="10"/>
  <c r="P526" i="10"/>
  <c r="N526" i="10"/>
  <c r="M526" i="10"/>
  <c r="N525" i="10"/>
  <c r="M525" i="10"/>
  <c r="P525" i="10" s="1"/>
  <c r="N524" i="10"/>
  <c r="M524" i="10"/>
  <c r="L524" i="10"/>
  <c r="O524" i="10" s="1"/>
  <c r="K517" i="10"/>
  <c r="J517" i="10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P506" i="10"/>
  <c r="O506" i="10"/>
  <c r="M505" i="10"/>
  <c r="P505" i="10" s="1"/>
  <c r="L505" i="10"/>
  <c r="O505" i="10" s="1"/>
  <c r="M504" i="10"/>
  <c r="P504" i="10" s="1"/>
  <c r="L504" i="10"/>
  <c r="O504" i="10" s="1"/>
  <c r="P503" i="10"/>
  <c r="N503" i="10"/>
  <c r="M503" i="10"/>
  <c r="M502" i="10" s="1"/>
  <c r="L503" i="10"/>
  <c r="O503" i="10" s="1"/>
  <c r="P502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N477" i="10"/>
  <c r="M477" i="10"/>
  <c r="P477" i="10" s="1"/>
  <c r="N472" i="10"/>
  <c r="L472" i="10"/>
  <c r="L470" i="10" s="1"/>
  <c r="O470" i="10" s="1"/>
  <c r="P471" i="10"/>
  <c r="O471" i="10"/>
  <c r="N470" i="10"/>
  <c r="N469" i="10"/>
  <c r="N468" i="10"/>
  <c r="N467" i="10" s="1"/>
  <c r="M468" i="10"/>
  <c r="P468" i="10" s="1"/>
  <c r="L468" i="10"/>
  <c r="J466" i="10"/>
  <c r="I466" i="10"/>
  <c r="K466" i="10" s="1"/>
  <c r="J465" i="10"/>
  <c r="I465" i="10"/>
  <c r="K465" i="10" s="1"/>
  <c r="I464" i="10"/>
  <c r="I463" i="10"/>
  <c r="I462" i="10"/>
  <c r="I443" i="10" s="1"/>
  <c r="K443" i="10" s="1"/>
  <c r="I460" i="10"/>
  <c r="I442" i="10" s="1"/>
  <c r="K442" i="10" s="1"/>
  <c r="K458" i="10"/>
  <c r="P456" i="10"/>
  <c r="L456" i="10"/>
  <c r="O456" i="10" s="1"/>
  <c r="P455" i="10"/>
  <c r="O455" i="10"/>
  <c r="P454" i="10"/>
  <c r="N454" i="10"/>
  <c r="M454" i="10"/>
  <c r="N449" i="10"/>
  <c r="N447" i="10" s="1"/>
  <c r="L449" i="10"/>
  <c r="O449" i="10" s="1"/>
  <c r="P448" i="10"/>
  <c r="O448" i="10"/>
  <c r="N446" i="10"/>
  <c r="O445" i="10"/>
  <c r="N445" i="10"/>
  <c r="N444" i="10" s="1"/>
  <c r="M445" i="10"/>
  <c r="P445" i="10" s="1"/>
  <c r="L445" i="10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I433" i="10" s="1"/>
  <c r="I417" i="10" s="1"/>
  <c r="J434" i="10"/>
  <c r="P431" i="10"/>
  <c r="L431" i="10"/>
  <c r="L429" i="10" s="1"/>
  <c r="O429" i="10" s="1"/>
  <c r="P430" i="10"/>
  <c r="O430" i="10"/>
  <c r="P429" i="10"/>
  <c r="N429" i="10"/>
  <c r="M429" i="10"/>
  <c r="N424" i="10"/>
  <c r="N422" i="10" s="1"/>
  <c r="L424" i="10"/>
  <c r="M424" i="10" s="1"/>
  <c r="P423" i="10"/>
  <c r="O423" i="10"/>
  <c r="N421" i="10"/>
  <c r="P420" i="10"/>
  <c r="O420" i="10"/>
  <c r="N420" i="10"/>
  <c r="M420" i="10"/>
  <c r="L420" i="10"/>
  <c r="N419" i="10"/>
  <c r="J418" i="10"/>
  <c r="K413" i="10"/>
  <c r="K412" i="10"/>
  <c r="N410" i="10"/>
  <c r="N408" i="10" s="1"/>
  <c r="M410" i="10"/>
  <c r="M408" i="10" s="1"/>
  <c r="P408" i="10" s="1"/>
  <c r="L410" i="10"/>
  <c r="L408" i="10" s="1"/>
  <c r="O408" i="10" s="1"/>
  <c r="P409" i="10"/>
  <c r="O409" i="10"/>
  <c r="N407" i="10"/>
  <c r="M407" i="10"/>
  <c r="M405" i="10" s="1"/>
  <c r="P405" i="10" s="1"/>
  <c r="L407" i="10"/>
  <c r="L405" i="10" s="1"/>
  <c r="O405" i="10" s="1"/>
  <c r="P406" i="10"/>
  <c r="O406" i="10"/>
  <c r="O403" i="10"/>
  <c r="N403" i="10"/>
  <c r="M403" i="10"/>
  <c r="L403" i="10"/>
  <c r="K401" i="10"/>
  <c r="J401" i="10"/>
  <c r="I401" i="10"/>
  <c r="K400" i="10"/>
  <c r="K399" i="10"/>
  <c r="N397" i="10"/>
  <c r="N395" i="10" s="1"/>
  <c r="M397" i="10"/>
  <c r="L397" i="10"/>
  <c r="O397" i="10" s="1"/>
  <c r="P396" i="10"/>
  <c r="O396" i="10"/>
  <c r="N394" i="10"/>
  <c r="N392" i="10" s="1"/>
  <c r="M394" i="10"/>
  <c r="P394" i="10" s="1"/>
  <c r="L394" i="10"/>
  <c r="O394" i="10" s="1"/>
  <c r="P393" i="10"/>
  <c r="O393" i="10"/>
  <c r="P390" i="10"/>
  <c r="O390" i="10"/>
  <c r="N390" i="10"/>
  <c r="M390" i="10"/>
  <c r="L390" i="10"/>
  <c r="J388" i="10"/>
  <c r="I388" i="10"/>
  <c r="K388" i="10" s="1"/>
  <c r="J385" i="10"/>
  <c r="I385" i="10"/>
  <c r="K382" i="10"/>
  <c r="J382" i="10"/>
  <c r="J381" i="10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L353" i="10"/>
  <c r="P352" i="10"/>
  <c r="O352" i="10"/>
  <c r="N350" i="10"/>
  <c r="M350" i="10"/>
  <c r="L350" i="10"/>
  <c r="P349" i="10"/>
  <c r="O349" i="10"/>
  <c r="P346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P336" i="10" s="1"/>
  <c r="L336" i="10"/>
  <c r="O336" i="10" s="1"/>
  <c r="P335" i="10"/>
  <c r="O335" i="10"/>
  <c r="N333" i="10"/>
  <c r="N331" i="10" s="1"/>
  <c r="M333" i="10"/>
  <c r="L333" i="10"/>
  <c r="L331" i="10" s="1"/>
  <c r="P332" i="10"/>
  <c r="O332" i="10"/>
  <c r="P329" i="10"/>
  <c r="O329" i="10"/>
  <c r="N329" i="10"/>
  <c r="M329" i="10"/>
  <c r="L329" i="10"/>
  <c r="I327" i="10"/>
  <c r="I325" i="10"/>
  <c r="K325" i="10" s="1"/>
  <c r="N323" i="10"/>
  <c r="N321" i="10" s="1"/>
  <c r="M323" i="10"/>
  <c r="P323" i="10" s="1"/>
  <c r="L323" i="10"/>
  <c r="P322" i="10"/>
  <c r="O322" i="10"/>
  <c r="N320" i="10"/>
  <c r="N318" i="10" s="1"/>
  <c r="M320" i="10"/>
  <c r="P320" i="10" s="1"/>
  <c r="L320" i="10"/>
  <c r="P319" i="10"/>
  <c r="O319" i="10"/>
  <c r="N316" i="10"/>
  <c r="M316" i="10"/>
  <c r="P316" i="10" s="1"/>
  <c r="L316" i="10"/>
  <c r="O316" i="10" s="1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P306" i="10" s="1"/>
  <c r="L306" i="10"/>
  <c r="O306" i="10" s="1"/>
  <c r="P305" i="10"/>
  <c r="O305" i="10"/>
  <c r="N303" i="10"/>
  <c r="N301" i="10" s="1"/>
  <c r="M303" i="10"/>
  <c r="P303" i="10" s="1"/>
  <c r="L303" i="10"/>
  <c r="L301" i="10" s="1"/>
  <c r="O301" i="10" s="1"/>
  <c r="P302" i="10"/>
  <c r="O302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J288" i="10" s="1"/>
  <c r="J275" i="10" s="1"/>
  <c r="I287" i="10"/>
  <c r="K287" i="10" s="1"/>
  <c r="N285" i="10"/>
  <c r="N283" i="10" s="1"/>
  <c r="M285" i="10"/>
  <c r="P285" i="10" s="1"/>
  <c r="L285" i="10"/>
  <c r="O285" i="10" s="1"/>
  <c r="P284" i="10"/>
  <c r="O284" i="10"/>
  <c r="N282" i="10"/>
  <c r="M282" i="10"/>
  <c r="L282" i="10"/>
  <c r="O282" i="10" s="1"/>
  <c r="P281" i="10"/>
  <c r="O281" i="10"/>
  <c r="P278" i="10"/>
  <c r="O278" i="10"/>
  <c r="N278" i="10"/>
  <c r="M278" i="10"/>
  <c r="L278" i="10"/>
  <c r="J276" i="10"/>
  <c r="I271" i="10"/>
  <c r="K271" i="10" s="1"/>
  <c r="N269" i="10"/>
  <c r="N267" i="10" s="1"/>
  <c r="M269" i="10"/>
  <c r="P269" i="10" s="1"/>
  <c r="L269" i="10"/>
  <c r="O269" i="10" s="1"/>
  <c r="P268" i="10"/>
  <c r="O268" i="10"/>
  <c r="N266" i="10"/>
  <c r="M266" i="10"/>
  <c r="P266" i="10" s="1"/>
  <c r="L266" i="10"/>
  <c r="L264" i="10" s="1"/>
  <c r="P265" i="10"/>
  <c r="O265" i="10"/>
  <c r="N262" i="10"/>
  <c r="M262" i="10"/>
  <c r="P262" i="10" s="1"/>
  <c r="L262" i="10"/>
  <c r="O262" i="10" s="1"/>
  <c r="J260" i="10"/>
  <c r="K258" i="10"/>
  <c r="K257" i="10"/>
  <c r="I255" i="10"/>
  <c r="L253" i="10"/>
  <c r="L252" i="10"/>
  <c r="L251" i="10"/>
  <c r="L250" i="10"/>
  <c r="P249" i="10"/>
  <c r="N249" i="10"/>
  <c r="J248" i="10"/>
  <c r="J226" i="10" s="1"/>
  <c r="K247" i="10"/>
  <c r="K246" i="10"/>
  <c r="I244" i="10"/>
  <c r="K244" i="10" s="1"/>
  <c r="L242" i="10"/>
  <c r="L241" i="10"/>
  <c r="L240" i="10"/>
  <c r="L239" i="10"/>
  <c r="P238" i="10"/>
  <c r="N238" i="10"/>
  <c r="J237" i="10"/>
  <c r="J236" i="10"/>
  <c r="I236" i="10"/>
  <c r="K236" i="10" s="1"/>
  <c r="J235" i="10"/>
  <c r="I235" i="10"/>
  <c r="K235" i="10" s="1"/>
  <c r="J233" i="10"/>
  <c r="N231" i="10"/>
  <c r="N230" i="10"/>
  <c r="N229" i="10"/>
  <c r="N228" i="10"/>
  <c r="N227" i="10"/>
  <c r="I225" i="10"/>
  <c r="I224" i="10"/>
  <c r="I216" i="10" s="1"/>
  <c r="K216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I204" i="10"/>
  <c r="K204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P189" i="10" s="1"/>
  <c r="L189" i="10"/>
  <c r="P188" i="10"/>
  <c r="O188" i="10"/>
  <c r="N186" i="10"/>
  <c r="N184" i="10" s="1"/>
  <c r="M186" i="10"/>
  <c r="M184" i="10" s="1"/>
  <c r="L186" i="10"/>
  <c r="P185" i="10"/>
  <c r="O185" i="10"/>
  <c r="N182" i="10"/>
  <c r="M182" i="10"/>
  <c r="P182" i="10" s="1"/>
  <c r="L182" i="10"/>
  <c r="O182" i="10" s="1"/>
  <c r="J180" i="10"/>
  <c r="J177" i="10"/>
  <c r="I176" i="10"/>
  <c r="I174" i="10" s="1"/>
  <c r="J174" i="10"/>
  <c r="N173" i="10"/>
  <c r="N171" i="10" s="1"/>
  <c r="M173" i="10"/>
  <c r="P173" i="10" s="1"/>
  <c r="L173" i="10"/>
  <c r="P172" i="10"/>
  <c r="O172" i="10"/>
  <c r="N170" i="10"/>
  <c r="N168" i="10" s="1"/>
  <c r="M170" i="10"/>
  <c r="M168" i="10" s="1"/>
  <c r="L170" i="10"/>
  <c r="P169" i="10"/>
  <c r="O169" i="10"/>
  <c r="N166" i="10"/>
  <c r="M166" i="10"/>
  <c r="P166" i="10" s="1"/>
  <c r="L166" i="10"/>
  <c r="O166" i="10" s="1"/>
  <c r="J164" i="10"/>
  <c r="I159" i="10"/>
  <c r="K159" i="10" s="1"/>
  <c r="N157" i="10"/>
  <c r="N155" i="10" s="1"/>
  <c r="M157" i="10"/>
  <c r="M155" i="10" s="1"/>
  <c r="P155" i="10" s="1"/>
  <c r="L157" i="10"/>
  <c r="O157" i="10" s="1"/>
  <c r="P156" i="10"/>
  <c r="O156" i="10"/>
  <c r="N154" i="10"/>
  <c r="N152" i="10" s="1"/>
  <c r="M154" i="10"/>
  <c r="M152" i="10" s="1"/>
  <c r="P152" i="10" s="1"/>
  <c r="L154" i="10"/>
  <c r="O154" i="10" s="1"/>
  <c r="P153" i="10"/>
  <c r="O153" i="10"/>
  <c r="O150" i="10"/>
  <c r="N150" i="10"/>
  <c r="M150" i="10"/>
  <c r="L150" i="10"/>
  <c r="J148" i="10"/>
  <c r="I146" i="10"/>
  <c r="I130" i="10" s="1"/>
  <c r="K130" i="10" s="1"/>
  <c r="I145" i="10"/>
  <c r="I143" i="10" s="1"/>
  <c r="K143" i="10" s="1"/>
  <c r="I144" i="10"/>
  <c r="K144" i="10" s="1"/>
  <c r="N140" i="10"/>
  <c r="N138" i="10" s="1"/>
  <c r="M140" i="10"/>
  <c r="P140" i="10" s="1"/>
  <c r="L140" i="10"/>
  <c r="O140" i="10" s="1"/>
  <c r="P139" i="10"/>
  <c r="O139" i="10"/>
  <c r="N137" i="10"/>
  <c r="N135" i="10" s="1"/>
  <c r="M137" i="10"/>
  <c r="L137" i="10"/>
  <c r="O137" i="10" s="1"/>
  <c r="P136" i="10"/>
  <c r="O136" i="10"/>
  <c r="P133" i="10"/>
  <c r="N133" i="10"/>
  <c r="M133" i="10"/>
  <c r="L133" i="10"/>
  <c r="O133" i="10" s="1"/>
  <c r="J130" i="10"/>
  <c r="N127" i="10"/>
  <c r="N125" i="10" s="1"/>
  <c r="M127" i="10"/>
  <c r="M125" i="10" s="1"/>
  <c r="P125" i="10" s="1"/>
  <c r="L127" i="10"/>
  <c r="O127" i="10" s="1"/>
  <c r="P126" i="10"/>
  <c r="O126" i="10"/>
  <c r="N124" i="10"/>
  <c r="N122" i="10" s="1"/>
  <c r="M124" i="10"/>
  <c r="M122" i="10" s="1"/>
  <c r="P122" i="10" s="1"/>
  <c r="L124" i="10"/>
  <c r="L122" i="10" s="1"/>
  <c r="O122" i="10" s="1"/>
  <c r="P123" i="10"/>
  <c r="O123" i="10"/>
  <c r="O120" i="10"/>
  <c r="N120" i="10"/>
  <c r="M120" i="10"/>
  <c r="L120" i="10"/>
  <c r="I116" i="10"/>
  <c r="K116" i="10" s="1"/>
  <c r="I115" i="10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J99" i="10"/>
  <c r="I99" i="10"/>
  <c r="I87" i="10" s="1"/>
  <c r="K87" i="10" s="1"/>
  <c r="J98" i="10"/>
  <c r="J86" i="10" s="1"/>
  <c r="I98" i="10"/>
  <c r="K98" i="10" s="1"/>
  <c r="N96" i="10"/>
  <c r="N94" i="10" s="1"/>
  <c r="M96" i="10"/>
  <c r="P96" i="10" s="1"/>
  <c r="L96" i="10"/>
  <c r="P95" i="10"/>
  <c r="O95" i="10"/>
  <c r="N93" i="10"/>
  <c r="M93" i="10"/>
  <c r="L93" i="10"/>
  <c r="P92" i="10"/>
  <c r="O92" i="10"/>
  <c r="N89" i="10"/>
  <c r="M89" i="10"/>
  <c r="P89" i="10" s="1"/>
  <c r="L89" i="10"/>
  <c r="O89" i="10" s="1"/>
  <c r="J87" i="10"/>
  <c r="I84" i="10"/>
  <c r="K84" i="10" s="1"/>
  <c r="I83" i="10"/>
  <c r="K83" i="10" s="1"/>
  <c r="I82" i="10"/>
  <c r="K82" i="10" s="1"/>
  <c r="I81" i="10"/>
  <c r="I80" i="10"/>
  <c r="K80" i="10" s="1"/>
  <c r="I79" i="10"/>
  <c r="K79" i="10" s="1"/>
  <c r="I78" i="10"/>
  <c r="K78" i="10" s="1"/>
  <c r="J77" i="10"/>
  <c r="J76" i="10"/>
  <c r="J64" i="10" s="1"/>
  <c r="N74" i="10"/>
  <c r="N72" i="10" s="1"/>
  <c r="M74" i="10"/>
  <c r="P74" i="10" s="1"/>
  <c r="L74" i="10"/>
  <c r="O74" i="10" s="1"/>
  <c r="P73" i="10"/>
  <c r="O73" i="10"/>
  <c r="N71" i="10"/>
  <c r="N69" i="10" s="1"/>
  <c r="M71" i="10"/>
  <c r="P71" i="10" s="1"/>
  <c r="L71" i="10"/>
  <c r="O71" i="10" s="1"/>
  <c r="P70" i="10"/>
  <c r="O70" i="10"/>
  <c r="P67" i="10"/>
  <c r="N67" i="10"/>
  <c r="M67" i="10"/>
  <c r="L67" i="10"/>
  <c r="O67" i="10" s="1"/>
  <c r="J65" i="10"/>
  <c r="N61" i="10"/>
  <c r="N59" i="10" s="1"/>
  <c r="M61" i="10"/>
  <c r="P61" i="10" s="1"/>
  <c r="L61" i="10"/>
  <c r="O61" i="10" s="1"/>
  <c r="P60" i="10"/>
  <c r="O60" i="10"/>
  <c r="N58" i="10"/>
  <c r="M58" i="10"/>
  <c r="M56" i="10" s="1"/>
  <c r="L58" i="10"/>
  <c r="L56" i="10" s="1"/>
  <c r="P57" i="10"/>
  <c r="O57" i="10"/>
  <c r="O54" i="10"/>
  <c r="N54" i="10"/>
  <c r="M54" i="10"/>
  <c r="L54" i="10"/>
  <c r="N49" i="10"/>
  <c r="M49" i="10"/>
  <c r="P49" i="10" s="1"/>
  <c r="L49" i="10"/>
  <c r="O49" i="10" s="1"/>
  <c r="P48" i="10"/>
  <c r="O48" i="10"/>
  <c r="N46" i="10"/>
  <c r="N44" i="10" s="1"/>
  <c r="M46" i="10"/>
  <c r="L46" i="10"/>
  <c r="P45" i="10"/>
  <c r="O45" i="10"/>
  <c r="P42" i="10"/>
  <c r="N42" i="10"/>
  <c r="M42" i="10"/>
  <c r="L42" i="10"/>
  <c r="O42" i="10" s="1"/>
  <c r="N36" i="10"/>
  <c r="N34" i="10" s="1"/>
  <c r="M36" i="10"/>
  <c r="P36" i="10" s="1"/>
  <c r="N35" i="10"/>
  <c r="M35" i="10"/>
  <c r="P35" i="10" s="1"/>
  <c r="L35" i="10"/>
  <c r="P32" i="10"/>
  <c r="O32" i="10"/>
  <c r="N32" i="10"/>
  <c r="M32" i="10"/>
  <c r="L32" i="10"/>
  <c r="N29" i="10"/>
  <c r="M29" i="10"/>
  <c r="P29" i="10" s="1"/>
  <c r="L29" i="10"/>
  <c r="P25" i="10"/>
  <c r="O25" i="10"/>
  <c r="N25" i="10"/>
  <c r="M25" i="10"/>
  <c r="L25" i="10"/>
  <c r="N22" i="10"/>
  <c r="N19" i="10" s="1"/>
  <c r="M22" i="10"/>
  <c r="P22" i="10" s="1"/>
  <c r="L22" i="10"/>
  <c r="N15" i="10"/>
  <c r="M15" i="10"/>
  <c r="P15" i="10" s="1"/>
  <c r="L15" i="10"/>
  <c r="N12" i="10"/>
  <c r="N9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P809" i="9"/>
  <c r="O809" i="9"/>
  <c r="O808" i="9"/>
  <c r="N808" i="9"/>
  <c r="M808" i="9"/>
  <c r="P808" i="9" s="1"/>
  <c r="L808" i="9"/>
  <c r="N807" i="9"/>
  <c r="N805" i="9" s="1"/>
  <c r="M807" i="9"/>
  <c r="P807" i="9" s="1"/>
  <c r="L807" i="9"/>
  <c r="O807" i="9" s="1"/>
  <c r="N806" i="9"/>
  <c r="M806" i="9"/>
  <c r="L806" i="9"/>
  <c r="O806" i="9" s="1"/>
  <c r="L805" i="9"/>
  <c r="O805" i="9" s="1"/>
  <c r="K804" i="9"/>
  <c r="J804" i="9"/>
  <c r="K802" i="9"/>
  <c r="J801" i="9"/>
  <c r="J800" i="9"/>
  <c r="J785" i="9" s="1"/>
  <c r="I800" i="9"/>
  <c r="P798" i="9"/>
  <c r="O798" i="9"/>
  <c r="P797" i="9"/>
  <c r="O797" i="9"/>
  <c r="P796" i="9"/>
  <c r="O796" i="9"/>
  <c r="N796" i="9"/>
  <c r="M796" i="9"/>
  <c r="L796" i="9"/>
  <c r="P791" i="9"/>
  <c r="N791" i="9"/>
  <c r="N789" i="9" s="1"/>
  <c r="L791" i="9"/>
  <c r="L788" i="9" s="1"/>
  <c r="O788" i="9" s="1"/>
  <c r="P790" i="9"/>
  <c r="O790" i="9"/>
  <c r="M789" i="9"/>
  <c r="P789" i="9" s="1"/>
  <c r="N788" i="9"/>
  <c r="N786" i="9" s="1"/>
  <c r="M788" i="9"/>
  <c r="P788" i="9" s="1"/>
  <c r="N787" i="9"/>
  <c r="M787" i="9"/>
  <c r="L787" i="9"/>
  <c r="O787" i="9" s="1"/>
  <c r="P782" i="9"/>
  <c r="O782" i="9"/>
  <c r="P781" i="9"/>
  <c r="O781" i="9"/>
  <c r="P780" i="9"/>
  <c r="N780" i="9"/>
  <c r="M780" i="9"/>
  <c r="L780" i="9"/>
  <c r="O780" i="9" s="1"/>
  <c r="P775" i="9"/>
  <c r="O775" i="9"/>
  <c r="N775" i="9"/>
  <c r="P774" i="9"/>
  <c r="O774" i="9"/>
  <c r="P773" i="9"/>
  <c r="O773" i="9"/>
  <c r="N773" i="9"/>
  <c r="M773" i="9"/>
  <c r="L773" i="9"/>
  <c r="O772" i="9"/>
  <c r="N772" i="9"/>
  <c r="M772" i="9"/>
  <c r="P772" i="9" s="1"/>
  <c r="L772" i="9"/>
  <c r="N771" i="9"/>
  <c r="N770" i="9" s="1"/>
  <c r="M771" i="9"/>
  <c r="P771" i="9" s="1"/>
  <c r="L771" i="9"/>
  <c r="O771" i="9" s="1"/>
  <c r="L770" i="9"/>
  <c r="O770" i="9" s="1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P758" i="9"/>
  <c r="O758" i="9"/>
  <c r="P757" i="9"/>
  <c r="O757" i="9"/>
  <c r="N757" i="9"/>
  <c r="M757" i="9"/>
  <c r="L757" i="9"/>
  <c r="O756" i="9"/>
  <c r="N756" i="9"/>
  <c r="M756" i="9"/>
  <c r="P756" i="9" s="1"/>
  <c r="L756" i="9"/>
  <c r="N755" i="9"/>
  <c r="N754" i="9" s="1"/>
  <c r="M755" i="9"/>
  <c r="L755" i="9"/>
  <c r="O755" i="9" s="1"/>
  <c r="K753" i="9"/>
  <c r="J753" i="9"/>
  <c r="P749" i="9"/>
  <c r="O749" i="9"/>
  <c r="P748" i="9"/>
  <c r="O748" i="9"/>
  <c r="P747" i="9"/>
  <c r="N747" i="9"/>
  <c r="M747" i="9"/>
  <c r="L747" i="9"/>
  <c r="O747" i="9" s="1"/>
  <c r="P742" i="9"/>
  <c r="O742" i="9"/>
  <c r="N742" i="9"/>
  <c r="P741" i="9"/>
  <c r="O741" i="9"/>
  <c r="P740" i="9"/>
  <c r="O740" i="9"/>
  <c r="N740" i="9"/>
  <c r="M740" i="9"/>
  <c r="L740" i="9"/>
  <c r="O739" i="9"/>
  <c r="N739" i="9"/>
  <c r="M739" i="9"/>
  <c r="P739" i="9" s="1"/>
  <c r="L739" i="9"/>
  <c r="N738" i="9"/>
  <c r="N737" i="9" s="1"/>
  <c r="M738" i="9"/>
  <c r="L738" i="9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P695" i="9"/>
  <c r="N695" i="9"/>
  <c r="M695" i="9"/>
  <c r="L695" i="9"/>
  <c r="O695" i="9" s="1"/>
  <c r="P690" i="9"/>
  <c r="N690" i="9"/>
  <c r="L690" i="9"/>
  <c r="N688" i="9"/>
  <c r="M688" i="9"/>
  <c r="P688" i="9" s="1"/>
  <c r="N687" i="9"/>
  <c r="N685" i="9" s="1"/>
  <c r="M687" i="9"/>
  <c r="P687" i="9" s="1"/>
  <c r="N686" i="9"/>
  <c r="M686" i="9"/>
  <c r="L686" i="9"/>
  <c r="O686" i="9" s="1"/>
  <c r="J679" i="9"/>
  <c r="J678" i="9" s="1"/>
  <c r="I678" i="9"/>
  <c r="K678" i="9" s="1"/>
  <c r="J675" i="9"/>
  <c r="J669" i="9" s="1"/>
  <c r="J654" i="9" s="1"/>
  <c r="I671" i="9"/>
  <c r="K671" i="9" s="1"/>
  <c r="I670" i="9"/>
  <c r="K670" i="9" s="1"/>
  <c r="I669" i="9"/>
  <c r="P667" i="9"/>
  <c r="O667" i="9"/>
  <c r="P666" i="9"/>
  <c r="O666" i="9"/>
  <c r="N665" i="9"/>
  <c r="M665" i="9"/>
  <c r="P665" i="9" s="1"/>
  <c r="L665" i="9"/>
  <c r="O665" i="9" s="1"/>
  <c r="N660" i="9"/>
  <c r="L660" i="9"/>
  <c r="L657" i="9" s="1"/>
  <c r="P659" i="9"/>
  <c r="O659" i="9"/>
  <c r="N658" i="9"/>
  <c r="N657" i="9"/>
  <c r="P656" i="9"/>
  <c r="O656" i="9"/>
  <c r="N656" i="9"/>
  <c r="M656" i="9"/>
  <c r="L656" i="9"/>
  <c r="N655" i="9"/>
  <c r="K652" i="9"/>
  <c r="J652" i="9"/>
  <c r="J651" i="9"/>
  <c r="J628" i="9" s="1"/>
  <c r="I651" i="9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L639" i="9" s="1"/>
  <c r="O639" i="9" s="1"/>
  <c r="P640" i="9"/>
  <c r="O640" i="9"/>
  <c r="P639" i="9"/>
  <c r="N639" i="9"/>
  <c r="M639" i="9"/>
  <c r="P634" i="9"/>
  <c r="N634" i="9"/>
  <c r="N631" i="9" s="1"/>
  <c r="N629" i="9" s="1"/>
  <c r="L634" i="9"/>
  <c r="L632" i="9" s="1"/>
  <c r="O632" i="9" s="1"/>
  <c r="P633" i="9"/>
  <c r="O633" i="9"/>
  <c r="N632" i="9"/>
  <c r="M632" i="9"/>
  <c r="P632" i="9" s="1"/>
  <c r="M631" i="9"/>
  <c r="P631" i="9" s="1"/>
  <c r="N630" i="9"/>
  <c r="M630" i="9"/>
  <c r="L630" i="9"/>
  <c r="O630" i="9" s="1"/>
  <c r="J621" i="9"/>
  <c r="I621" i="9"/>
  <c r="K621" i="9" s="1"/>
  <c r="J620" i="9"/>
  <c r="I620" i="9"/>
  <c r="K613" i="9"/>
  <c r="J613" i="9"/>
  <c r="K612" i="9"/>
  <c r="J612" i="9"/>
  <c r="K611" i="9"/>
  <c r="J611" i="9"/>
  <c r="J604" i="9"/>
  <c r="J603" i="9"/>
  <c r="J596" i="9"/>
  <c r="J594" i="9" s="1"/>
  <c r="J595" i="9"/>
  <c r="I594" i="9"/>
  <c r="J593" i="9"/>
  <c r="J592" i="9" s="1"/>
  <c r="I593" i="9"/>
  <c r="J583" i="9"/>
  <c r="J582" i="9"/>
  <c r="J576" i="9" s="1"/>
  <c r="J577" i="9"/>
  <c r="I577" i="9"/>
  <c r="K577" i="9" s="1"/>
  <c r="I576" i="9"/>
  <c r="J569" i="9"/>
  <c r="I569" i="9"/>
  <c r="J568" i="9"/>
  <c r="I568" i="9"/>
  <c r="K568" i="9" s="1"/>
  <c r="J561" i="9"/>
  <c r="I561" i="9"/>
  <c r="K561" i="9" s="1"/>
  <c r="J560" i="9"/>
  <c r="I560" i="9"/>
  <c r="K560" i="9" s="1"/>
  <c r="J559" i="9"/>
  <c r="J543" i="9" s="1"/>
  <c r="P557" i="9"/>
  <c r="L557" i="9"/>
  <c r="O557" i="9" s="1"/>
  <c r="P556" i="9"/>
  <c r="O556" i="9"/>
  <c r="N555" i="9"/>
  <c r="M555" i="9"/>
  <c r="N549" i="9"/>
  <c r="L549" i="9"/>
  <c r="P548" i="9"/>
  <c r="O548" i="9"/>
  <c r="N547" i="9"/>
  <c r="N546" i="9"/>
  <c r="O545" i="9"/>
  <c r="N545" i="9"/>
  <c r="L545" i="9"/>
  <c r="N544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P535" i="9"/>
  <c r="L535" i="9"/>
  <c r="O535" i="9" s="1"/>
  <c r="P534" i="9"/>
  <c r="O534" i="9"/>
  <c r="P533" i="9"/>
  <c r="N533" i="9"/>
  <c r="M533" i="9"/>
  <c r="L533" i="9"/>
  <c r="O533" i="9" s="1"/>
  <c r="P528" i="9"/>
  <c r="N528" i="9"/>
  <c r="L528" i="9"/>
  <c r="O528" i="9" s="1"/>
  <c r="P527" i="9"/>
  <c r="O527" i="9"/>
  <c r="P526" i="9"/>
  <c r="N526" i="9"/>
  <c r="M526" i="9"/>
  <c r="P525" i="9"/>
  <c r="N525" i="9"/>
  <c r="M525" i="9"/>
  <c r="O524" i="9"/>
  <c r="N524" i="9"/>
  <c r="M524" i="9"/>
  <c r="P524" i="9" s="1"/>
  <c r="L524" i="9"/>
  <c r="N523" i="9"/>
  <c r="M523" i="9"/>
  <c r="P523" i="9" s="1"/>
  <c r="K517" i="9"/>
  <c r="J517" i="9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P506" i="9"/>
  <c r="O506" i="9"/>
  <c r="O505" i="9"/>
  <c r="N505" i="9"/>
  <c r="M505" i="9"/>
  <c r="P505" i="9" s="1"/>
  <c r="L505" i="9"/>
  <c r="N504" i="9"/>
  <c r="N502" i="9" s="1"/>
  <c r="M504" i="9"/>
  <c r="P504" i="9" s="1"/>
  <c r="L504" i="9"/>
  <c r="N503" i="9"/>
  <c r="M503" i="9"/>
  <c r="L503" i="9"/>
  <c r="O503" i="9" s="1"/>
  <c r="K501" i="9"/>
  <c r="J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L477" i="9" s="1"/>
  <c r="O477" i="9" s="1"/>
  <c r="P478" i="9"/>
  <c r="O478" i="9"/>
  <c r="P477" i="9"/>
  <c r="N477" i="9"/>
  <c r="M477" i="9"/>
  <c r="N472" i="9"/>
  <c r="N470" i="9" s="1"/>
  <c r="L472" i="9"/>
  <c r="P471" i="9"/>
  <c r="O471" i="9"/>
  <c r="N469" i="9"/>
  <c r="N468" i="9"/>
  <c r="M468" i="9"/>
  <c r="P468" i="9" s="1"/>
  <c r="L468" i="9"/>
  <c r="O468" i="9" s="1"/>
  <c r="J466" i="9"/>
  <c r="I466" i="9"/>
  <c r="K466" i="9" s="1"/>
  <c r="J465" i="9"/>
  <c r="I465" i="9"/>
  <c r="K465" i="9" s="1"/>
  <c r="I464" i="9"/>
  <c r="I463" i="9"/>
  <c r="I462" i="9"/>
  <c r="I443" i="9" s="1"/>
  <c r="I460" i="9"/>
  <c r="K458" i="9"/>
  <c r="P456" i="9"/>
  <c r="L456" i="9"/>
  <c r="O456" i="9" s="1"/>
  <c r="P455" i="9"/>
  <c r="O455" i="9"/>
  <c r="P454" i="9"/>
  <c r="N454" i="9"/>
  <c r="M454" i="9"/>
  <c r="L454" i="9"/>
  <c r="O454" i="9" s="1"/>
  <c r="N449" i="9"/>
  <c r="L449" i="9"/>
  <c r="M449" i="9" s="1"/>
  <c r="P448" i="9"/>
  <c r="O448" i="9"/>
  <c r="N447" i="9"/>
  <c r="N446" i="9"/>
  <c r="P445" i="9"/>
  <c r="O445" i="9"/>
  <c r="N445" i="9"/>
  <c r="M445" i="9"/>
  <c r="L445" i="9"/>
  <c r="N444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I435" i="9"/>
  <c r="K435" i="9" s="1"/>
  <c r="J434" i="9"/>
  <c r="P431" i="9"/>
  <c r="L431" i="9"/>
  <c r="O431" i="9" s="1"/>
  <c r="P430" i="9"/>
  <c r="O430" i="9"/>
  <c r="N429" i="9"/>
  <c r="M429" i="9"/>
  <c r="P429" i="9" s="1"/>
  <c r="N424" i="9"/>
  <c r="L424" i="9"/>
  <c r="L422" i="9" s="1"/>
  <c r="O422" i="9" s="1"/>
  <c r="P423" i="9"/>
  <c r="O423" i="9"/>
  <c r="N422" i="9"/>
  <c r="N421" i="9"/>
  <c r="P420" i="9"/>
  <c r="O420" i="9"/>
  <c r="N420" i="9"/>
  <c r="M420" i="9"/>
  <c r="L420" i="9"/>
  <c r="N419" i="9"/>
  <c r="J418" i="9"/>
  <c r="K413" i="9"/>
  <c r="K412" i="9"/>
  <c r="N410" i="9"/>
  <c r="N408" i="9" s="1"/>
  <c r="M410" i="9"/>
  <c r="M408" i="9" s="1"/>
  <c r="P408" i="9" s="1"/>
  <c r="L410" i="9"/>
  <c r="O410" i="9" s="1"/>
  <c r="P409" i="9"/>
  <c r="O409" i="9"/>
  <c r="N407" i="9"/>
  <c r="N405" i="9" s="1"/>
  <c r="M407" i="9"/>
  <c r="P407" i="9" s="1"/>
  <c r="L407" i="9"/>
  <c r="O407" i="9" s="1"/>
  <c r="P406" i="9"/>
  <c r="O406" i="9"/>
  <c r="O403" i="9"/>
  <c r="N403" i="9"/>
  <c r="M403" i="9"/>
  <c r="L403" i="9"/>
  <c r="J401" i="9"/>
  <c r="I401" i="9"/>
  <c r="K401" i="9" s="1"/>
  <c r="K400" i="9"/>
  <c r="K399" i="9"/>
  <c r="N397" i="9"/>
  <c r="N395" i="9" s="1"/>
  <c r="M397" i="9"/>
  <c r="P397" i="9" s="1"/>
  <c r="L397" i="9"/>
  <c r="O397" i="9" s="1"/>
  <c r="P396" i="9"/>
  <c r="O396" i="9"/>
  <c r="N394" i="9"/>
  <c r="N392" i="9" s="1"/>
  <c r="M394" i="9"/>
  <c r="P394" i="9" s="1"/>
  <c r="L394" i="9"/>
  <c r="O394" i="9" s="1"/>
  <c r="P393" i="9"/>
  <c r="O393" i="9"/>
  <c r="P390" i="9"/>
  <c r="N390" i="9"/>
  <c r="M390" i="9"/>
  <c r="L390" i="9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M353" i="9"/>
  <c r="L353" i="9"/>
  <c r="P352" i="9"/>
  <c r="O352" i="9"/>
  <c r="N350" i="9"/>
  <c r="N348" i="9" s="1"/>
  <c r="M350" i="9"/>
  <c r="M348" i="9" s="1"/>
  <c r="L350" i="9"/>
  <c r="L348" i="9" s="1"/>
  <c r="P349" i="9"/>
  <c r="O349" i="9"/>
  <c r="P346" i="9"/>
  <c r="O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L336" i="9"/>
  <c r="P335" i="9"/>
  <c r="O335" i="9"/>
  <c r="N333" i="9"/>
  <c r="N331" i="9" s="1"/>
  <c r="M333" i="9"/>
  <c r="L333" i="9"/>
  <c r="P332" i="9"/>
  <c r="O332" i="9"/>
  <c r="P329" i="9"/>
  <c r="N329" i="9"/>
  <c r="M329" i="9"/>
  <c r="L329" i="9"/>
  <c r="I327" i="9"/>
  <c r="I325" i="9"/>
  <c r="I314" i="9" s="1"/>
  <c r="K314" i="9" s="1"/>
  <c r="N323" i="9"/>
  <c r="N321" i="9" s="1"/>
  <c r="M323" i="9"/>
  <c r="P323" i="9" s="1"/>
  <c r="L323" i="9"/>
  <c r="P322" i="9"/>
  <c r="O322" i="9"/>
  <c r="N320" i="9"/>
  <c r="N318" i="9" s="1"/>
  <c r="M320" i="9"/>
  <c r="P320" i="9" s="1"/>
  <c r="L320" i="9"/>
  <c r="L318" i="9" s="1"/>
  <c r="O318" i="9" s="1"/>
  <c r="P319" i="9"/>
  <c r="O319" i="9"/>
  <c r="N316" i="9"/>
  <c r="M316" i="9"/>
  <c r="P316" i="9" s="1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M304" i="9" s="1"/>
  <c r="P304" i="9" s="1"/>
  <c r="L306" i="9"/>
  <c r="P305" i="9"/>
  <c r="O305" i="9"/>
  <c r="N303" i="9"/>
  <c r="M303" i="9"/>
  <c r="M301" i="9" s="1"/>
  <c r="L303" i="9"/>
  <c r="L301" i="9" s="1"/>
  <c r="P302" i="9"/>
  <c r="O302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I276" i="9" s="1"/>
  <c r="K276" i="9" s="1"/>
  <c r="N285" i="9"/>
  <c r="N283" i="9" s="1"/>
  <c r="M285" i="9"/>
  <c r="P285" i="9" s="1"/>
  <c r="L285" i="9"/>
  <c r="P284" i="9"/>
  <c r="O284" i="9"/>
  <c r="N282" i="9"/>
  <c r="M282" i="9"/>
  <c r="P282" i="9" s="1"/>
  <c r="L282" i="9"/>
  <c r="L280" i="9" s="1"/>
  <c r="O280" i="9" s="1"/>
  <c r="P281" i="9"/>
  <c r="O281" i="9"/>
  <c r="O278" i="9"/>
  <c r="N278" i="9"/>
  <c r="M278" i="9"/>
  <c r="P278" i="9" s="1"/>
  <c r="L278" i="9"/>
  <c r="J276" i="9"/>
  <c r="I271" i="9"/>
  <c r="K271" i="9" s="1"/>
  <c r="N269" i="9"/>
  <c r="N267" i="9" s="1"/>
  <c r="M269" i="9"/>
  <c r="P269" i="9" s="1"/>
  <c r="L269" i="9"/>
  <c r="O269" i="9" s="1"/>
  <c r="P268" i="9"/>
  <c r="O268" i="9"/>
  <c r="N266" i="9"/>
  <c r="N264" i="9" s="1"/>
  <c r="M266" i="9"/>
  <c r="M264" i="9" s="1"/>
  <c r="P264" i="9" s="1"/>
  <c r="L266" i="9"/>
  <c r="P265" i="9"/>
  <c r="O265" i="9"/>
  <c r="P262" i="9"/>
  <c r="O262" i="9"/>
  <c r="N262" i="9"/>
  <c r="M262" i="9"/>
  <c r="L262" i="9"/>
  <c r="J260" i="9"/>
  <c r="K258" i="9"/>
  <c r="K257" i="9"/>
  <c r="I255" i="9"/>
  <c r="K255" i="9" s="1"/>
  <c r="L253" i="9"/>
  <c r="L252" i="9"/>
  <c r="L251" i="9"/>
  <c r="L250" i="9"/>
  <c r="P249" i="9"/>
  <c r="N249" i="9"/>
  <c r="J248" i="9"/>
  <c r="K247" i="9"/>
  <c r="K246" i="9"/>
  <c r="I244" i="9"/>
  <c r="L242" i="9"/>
  <c r="L241" i="9"/>
  <c r="L240" i="9"/>
  <c r="L239" i="9"/>
  <c r="P238" i="9"/>
  <c r="N238" i="9"/>
  <c r="J237" i="9"/>
  <c r="J226" i="9" s="1"/>
  <c r="J180" i="9" s="1"/>
  <c r="K236" i="9"/>
  <c r="J236" i="9"/>
  <c r="I236" i="9"/>
  <c r="J235" i="9"/>
  <c r="I235" i="9"/>
  <c r="K235" i="9" s="1"/>
  <c r="J233" i="9"/>
  <c r="N231" i="9"/>
  <c r="N230" i="9"/>
  <c r="N229" i="9"/>
  <c r="N228" i="9"/>
  <c r="N227" i="9"/>
  <c r="I225" i="9"/>
  <c r="I224" i="9"/>
  <c r="I216" i="9" s="1"/>
  <c r="K216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K204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M187" i="9" s="1"/>
  <c r="P187" i="9" s="1"/>
  <c r="L189" i="9"/>
  <c r="O189" i="9" s="1"/>
  <c r="P188" i="9"/>
  <c r="O188" i="9"/>
  <c r="N186" i="9"/>
  <c r="N184" i="9" s="1"/>
  <c r="M186" i="9"/>
  <c r="M184" i="9" s="1"/>
  <c r="L186" i="9"/>
  <c r="L184" i="9" s="1"/>
  <c r="P185" i="9"/>
  <c r="O185" i="9"/>
  <c r="O182" i="9"/>
  <c r="N182" i="9"/>
  <c r="M182" i="9"/>
  <c r="P182" i="9" s="1"/>
  <c r="L182" i="9"/>
  <c r="J177" i="9"/>
  <c r="J164" i="9" s="1"/>
  <c r="I176" i="9"/>
  <c r="J174" i="9"/>
  <c r="N173" i="9"/>
  <c r="N171" i="9" s="1"/>
  <c r="M173" i="9"/>
  <c r="M171" i="9" s="1"/>
  <c r="P171" i="9" s="1"/>
  <c r="L173" i="9"/>
  <c r="L171" i="9" s="1"/>
  <c r="O171" i="9" s="1"/>
  <c r="P172" i="9"/>
  <c r="O172" i="9"/>
  <c r="N170" i="9"/>
  <c r="N168" i="9" s="1"/>
  <c r="M170" i="9"/>
  <c r="M168" i="9" s="1"/>
  <c r="L170" i="9"/>
  <c r="P169" i="9"/>
  <c r="O169" i="9"/>
  <c r="O166" i="9"/>
  <c r="N166" i="9"/>
  <c r="M166" i="9"/>
  <c r="P166" i="9" s="1"/>
  <c r="L166" i="9"/>
  <c r="I159" i="9"/>
  <c r="I148" i="9" s="1"/>
  <c r="K148" i="9" s="1"/>
  <c r="N157" i="9"/>
  <c r="N155" i="9" s="1"/>
  <c r="M157" i="9"/>
  <c r="M155" i="9" s="1"/>
  <c r="P155" i="9" s="1"/>
  <c r="L157" i="9"/>
  <c r="O157" i="9" s="1"/>
  <c r="P156" i="9"/>
  <c r="O156" i="9"/>
  <c r="N154" i="9"/>
  <c r="N152" i="9" s="1"/>
  <c r="M154" i="9"/>
  <c r="P154" i="9" s="1"/>
  <c r="L154" i="9"/>
  <c r="P153" i="9"/>
  <c r="O153" i="9"/>
  <c r="P150" i="9"/>
  <c r="O150" i="9"/>
  <c r="N150" i="9"/>
  <c r="M150" i="9"/>
  <c r="L150" i="9"/>
  <c r="J148" i="9"/>
  <c r="I146" i="9"/>
  <c r="K146" i="9" s="1"/>
  <c r="I145" i="9"/>
  <c r="K145" i="9" s="1"/>
  <c r="I144" i="9"/>
  <c r="N140" i="9"/>
  <c r="N138" i="9" s="1"/>
  <c r="M140" i="9"/>
  <c r="L140" i="9"/>
  <c r="L138" i="9" s="1"/>
  <c r="P139" i="9"/>
  <c r="O139" i="9"/>
  <c r="N137" i="9"/>
  <c r="M137" i="9"/>
  <c r="L137" i="9"/>
  <c r="L135" i="9" s="1"/>
  <c r="P136" i="9"/>
  <c r="O136" i="9"/>
  <c r="N133" i="9"/>
  <c r="M133" i="9"/>
  <c r="P133" i="9" s="1"/>
  <c r="L133" i="9"/>
  <c r="O133" i="9" s="1"/>
  <c r="J130" i="9"/>
  <c r="N127" i="9"/>
  <c r="N125" i="9" s="1"/>
  <c r="M127" i="9"/>
  <c r="P127" i="9" s="1"/>
  <c r="L127" i="9"/>
  <c r="P126" i="9"/>
  <c r="O126" i="9"/>
  <c r="N124" i="9"/>
  <c r="N122" i="9" s="1"/>
  <c r="M124" i="9"/>
  <c r="M122" i="9" s="1"/>
  <c r="P122" i="9" s="1"/>
  <c r="L124" i="9"/>
  <c r="O124" i="9" s="1"/>
  <c r="P123" i="9"/>
  <c r="O123" i="9"/>
  <c r="P120" i="9"/>
  <c r="O120" i="9"/>
  <c r="N120" i="9"/>
  <c r="M120" i="9"/>
  <c r="L120" i="9"/>
  <c r="I116" i="9"/>
  <c r="K116" i="9" s="1"/>
  <c r="I115" i="9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J87" i="9" s="1"/>
  <c r="I99" i="9"/>
  <c r="J98" i="9"/>
  <c r="I98" i="9"/>
  <c r="K98" i="9" s="1"/>
  <c r="N96" i="9"/>
  <c r="M96" i="9"/>
  <c r="M94" i="9" s="1"/>
  <c r="P94" i="9" s="1"/>
  <c r="L96" i="9"/>
  <c r="L94" i="9" s="1"/>
  <c r="O94" i="9" s="1"/>
  <c r="P95" i="9"/>
  <c r="O95" i="9"/>
  <c r="N93" i="9"/>
  <c r="N91" i="9" s="1"/>
  <c r="M93" i="9"/>
  <c r="M91" i="9" s="1"/>
  <c r="L93" i="9"/>
  <c r="L91" i="9" s="1"/>
  <c r="P92" i="9"/>
  <c r="O92" i="9"/>
  <c r="O89" i="9"/>
  <c r="N89" i="9"/>
  <c r="M89" i="9"/>
  <c r="P89" i="9" s="1"/>
  <c r="L89" i="9"/>
  <c r="J86" i="9"/>
  <c r="I84" i="9"/>
  <c r="K84" i="9" s="1"/>
  <c r="I83" i="9"/>
  <c r="K83" i="9" s="1"/>
  <c r="I82" i="9"/>
  <c r="K82" i="9" s="1"/>
  <c r="I81" i="9"/>
  <c r="K81" i="9" s="1"/>
  <c r="I80" i="9"/>
  <c r="K80" i="9" s="1"/>
  <c r="I79" i="9"/>
  <c r="I78" i="9"/>
  <c r="K78" i="9" s="1"/>
  <c r="J77" i="9"/>
  <c r="J76" i="9"/>
  <c r="N74" i="9"/>
  <c r="N72" i="9" s="1"/>
  <c r="M74" i="9"/>
  <c r="P74" i="9" s="1"/>
  <c r="L74" i="9"/>
  <c r="O74" i="9" s="1"/>
  <c r="P73" i="9"/>
  <c r="O73" i="9"/>
  <c r="N71" i="9"/>
  <c r="M71" i="9"/>
  <c r="L71" i="9"/>
  <c r="L69" i="9" s="1"/>
  <c r="P70" i="9"/>
  <c r="O70" i="9"/>
  <c r="O67" i="9"/>
  <c r="N67" i="9"/>
  <c r="M67" i="9"/>
  <c r="P67" i="9" s="1"/>
  <c r="L67" i="9"/>
  <c r="J65" i="9"/>
  <c r="J64" i="9"/>
  <c r="N61" i="9"/>
  <c r="N59" i="9" s="1"/>
  <c r="M61" i="9"/>
  <c r="P61" i="9" s="1"/>
  <c r="L61" i="9"/>
  <c r="O61" i="9" s="1"/>
  <c r="P60" i="9"/>
  <c r="O60" i="9"/>
  <c r="N58" i="9"/>
  <c r="N56" i="9" s="1"/>
  <c r="M58" i="9"/>
  <c r="M56" i="9" s="1"/>
  <c r="L58" i="9"/>
  <c r="L56" i="9" s="1"/>
  <c r="P57" i="9"/>
  <c r="O57" i="9"/>
  <c r="P54" i="9"/>
  <c r="N54" i="9"/>
  <c r="M54" i="9"/>
  <c r="L54" i="9"/>
  <c r="O54" i="9" s="1"/>
  <c r="N49" i="9"/>
  <c r="N47" i="9" s="1"/>
  <c r="M49" i="9"/>
  <c r="P49" i="9" s="1"/>
  <c r="L49" i="9"/>
  <c r="O49" i="9" s="1"/>
  <c r="P48" i="9"/>
  <c r="O48" i="9"/>
  <c r="N46" i="9"/>
  <c r="M46" i="9"/>
  <c r="M44" i="9" s="1"/>
  <c r="L46" i="9"/>
  <c r="L44" i="9" s="1"/>
  <c r="P45" i="9"/>
  <c r="O45" i="9"/>
  <c r="O42" i="9"/>
  <c r="N42" i="9"/>
  <c r="M42" i="9"/>
  <c r="P42" i="9" s="1"/>
  <c r="L42" i="9"/>
  <c r="P36" i="9"/>
  <c r="N36" i="9"/>
  <c r="M36" i="9"/>
  <c r="P35" i="9"/>
  <c r="O35" i="9"/>
  <c r="N35" i="9"/>
  <c r="M35" i="9"/>
  <c r="M34" i="9" s="1"/>
  <c r="P34" i="9" s="1"/>
  <c r="L35" i="9"/>
  <c r="N34" i="9"/>
  <c r="N33" i="9"/>
  <c r="N32" i="9"/>
  <c r="N29" i="9" s="1"/>
  <c r="M32" i="9"/>
  <c r="L32" i="9"/>
  <c r="N25" i="9"/>
  <c r="N15" i="9" s="1"/>
  <c r="M25" i="9"/>
  <c r="L25" i="9"/>
  <c r="P22" i="9"/>
  <c r="O22" i="9"/>
  <c r="N22" i="9"/>
  <c r="M22" i="9"/>
  <c r="L22" i="9"/>
  <c r="N19" i="9"/>
  <c r="M19" i="9"/>
  <c r="L19" i="9"/>
  <c r="O19" i="9" s="1"/>
  <c r="N12" i="9"/>
  <c r="M12" i="9"/>
  <c r="L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P809" i="8"/>
  <c r="O809" i="8"/>
  <c r="O808" i="8"/>
  <c r="N808" i="8"/>
  <c r="M808" i="8"/>
  <c r="P808" i="8" s="1"/>
  <c r="L808" i="8"/>
  <c r="N807" i="8"/>
  <c r="N805" i="8" s="1"/>
  <c r="M807" i="8"/>
  <c r="P807" i="8" s="1"/>
  <c r="L807" i="8"/>
  <c r="O807" i="8" s="1"/>
  <c r="N806" i="8"/>
  <c r="M806" i="8"/>
  <c r="L806" i="8"/>
  <c r="O806" i="8" s="1"/>
  <c r="L805" i="8"/>
  <c r="O805" i="8" s="1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O796" i="8"/>
  <c r="N796" i="8"/>
  <c r="M796" i="8"/>
  <c r="L796" i="8"/>
  <c r="P791" i="8"/>
  <c r="N791" i="8"/>
  <c r="N789" i="8" s="1"/>
  <c r="L791" i="8"/>
  <c r="L789" i="8" s="1"/>
  <c r="O789" i="8" s="1"/>
  <c r="P790" i="8"/>
  <c r="O790" i="8"/>
  <c r="M789" i="8"/>
  <c r="P789" i="8" s="1"/>
  <c r="N788" i="8"/>
  <c r="N786" i="8" s="1"/>
  <c r="M788" i="8"/>
  <c r="P788" i="8" s="1"/>
  <c r="L788" i="8"/>
  <c r="O788" i="8" s="1"/>
  <c r="N787" i="8"/>
  <c r="M787" i="8"/>
  <c r="L787" i="8"/>
  <c r="O787" i="8" s="1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P774" i="8"/>
  <c r="O774" i="8"/>
  <c r="P773" i="8"/>
  <c r="O773" i="8"/>
  <c r="N773" i="8"/>
  <c r="M773" i="8"/>
  <c r="L773" i="8"/>
  <c r="O772" i="8"/>
  <c r="N772" i="8"/>
  <c r="M772" i="8"/>
  <c r="P772" i="8" s="1"/>
  <c r="L772" i="8"/>
  <c r="N771" i="8"/>
  <c r="M771" i="8"/>
  <c r="L771" i="8"/>
  <c r="O771" i="8" s="1"/>
  <c r="L770" i="8"/>
  <c r="O770" i="8" s="1"/>
  <c r="K769" i="8"/>
  <c r="J769" i="8"/>
  <c r="P766" i="8"/>
  <c r="O766" i="8"/>
  <c r="P765" i="8"/>
  <c r="O765" i="8"/>
  <c r="P764" i="8"/>
  <c r="N764" i="8"/>
  <c r="M764" i="8"/>
  <c r="L764" i="8"/>
  <c r="O764" i="8" s="1"/>
  <c r="P759" i="8"/>
  <c r="O759" i="8"/>
  <c r="N759" i="8"/>
  <c r="P758" i="8"/>
  <c r="O758" i="8"/>
  <c r="P757" i="8"/>
  <c r="O757" i="8"/>
  <c r="N757" i="8"/>
  <c r="M757" i="8"/>
  <c r="L757" i="8"/>
  <c r="O756" i="8"/>
  <c r="N756" i="8"/>
  <c r="M756" i="8"/>
  <c r="P756" i="8" s="1"/>
  <c r="L756" i="8"/>
  <c r="N755" i="8"/>
  <c r="N754" i="8" s="1"/>
  <c r="M755" i="8"/>
  <c r="P755" i="8" s="1"/>
  <c r="L755" i="8"/>
  <c r="O755" i="8" s="1"/>
  <c r="L754" i="8"/>
  <c r="O754" i="8" s="1"/>
  <c r="K753" i="8"/>
  <c r="J753" i="8"/>
  <c r="P749" i="8"/>
  <c r="O749" i="8"/>
  <c r="P748" i="8"/>
  <c r="O748" i="8"/>
  <c r="P747" i="8"/>
  <c r="N747" i="8"/>
  <c r="M747" i="8"/>
  <c r="L747" i="8"/>
  <c r="O747" i="8" s="1"/>
  <c r="P742" i="8"/>
  <c r="O742" i="8"/>
  <c r="N742" i="8"/>
  <c r="P741" i="8"/>
  <c r="O741" i="8"/>
  <c r="P740" i="8"/>
  <c r="O740" i="8"/>
  <c r="N740" i="8"/>
  <c r="M740" i="8"/>
  <c r="L740" i="8"/>
  <c r="O739" i="8"/>
  <c r="N739" i="8"/>
  <c r="M739" i="8"/>
  <c r="P739" i="8" s="1"/>
  <c r="L739" i="8"/>
  <c r="N738" i="8"/>
  <c r="M738" i="8"/>
  <c r="P738" i="8" s="1"/>
  <c r="L738" i="8"/>
  <c r="O738" i="8" s="1"/>
  <c r="M737" i="8"/>
  <c r="P737" i="8" s="1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N695" i="8"/>
  <c r="M695" i="8"/>
  <c r="L695" i="8"/>
  <c r="O695" i="8" s="1"/>
  <c r="N690" i="8"/>
  <c r="L690" i="8"/>
  <c r="N688" i="8"/>
  <c r="N687" i="8"/>
  <c r="N686" i="8"/>
  <c r="N685" i="8" s="1"/>
  <c r="M686" i="8"/>
  <c r="L686" i="8"/>
  <c r="O686" i="8" s="1"/>
  <c r="J679" i="8"/>
  <c r="J678" i="8" s="1"/>
  <c r="I678" i="8"/>
  <c r="K678" i="8" s="1"/>
  <c r="J675" i="8"/>
  <c r="J669" i="8" s="1"/>
  <c r="J654" i="8" s="1"/>
  <c r="I671" i="8"/>
  <c r="K671" i="8" s="1"/>
  <c r="I670" i="8"/>
  <c r="K670" i="8" s="1"/>
  <c r="I669" i="8"/>
  <c r="K673" i="8" s="1"/>
  <c r="P667" i="8"/>
  <c r="O667" i="8"/>
  <c r="P666" i="8"/>
  <c r="O666" i="8"/>
  <c r="N665" i="8"/>
  <c r="M665" i="8"/>
  <c r="P665" i="8" s="1"/>
  <c r="L665" i="8"/>
  <c r="O665" i="8" s="1"/>
  <c r="P660" i="8"/>
  <c r="N660" i="8"/>
  <c r="N657" i="8" s="1"/>
  <c r="N655" i="8" s="1"/>
  <c r="L660" i="8"/>
  <c r="O660" i="8" s="1"/>
  <c r="P659" i="8"/>
  <c r="O659" i="8"/>
  <c r="N658" i="8"/>
  <c r="M658" i="8"/>
  <c r="P658" i="8" s="1"/>
  <c r="P657" i="8"/>
  <c r="M657" i="8"/>
  <c r="P656" i="8"/>
  <c r="O656" i="8"/>
  <c r="N656" i="8"/>
  <c r="M656" i="8"/>
  <c r="L656" i="8"/>
  <c r="P655" i="8"/>
  <c r="M655" i="8"/>
  <c r="I654" i="8"/>
  <c r="K654" i="8" s="1"/>
  <c r="K652" i="8"/>
  <c r="J652" i="8"/>
  <c r="J651" i="8"/>
  <c r="J628" i="8" s="1"/>
  <c r="I651" i="8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P634" i="8"/>
  <c r="N634" i="8"/>
  <c r="L634" i="8"/>
  <c r="L632" i="8" s="1"/>
  <c r="O632" i="8" s="1"/>
  <c r="P633" i="8"/>
  <c r="O633" i="8"/>
  <c r="N632" i="8"/>
  <c r="M632" i="8"/>
  <c r="P632" i="8" s="1"/>
  <c r="N631" i="8"/>
  <c r="N629" i="8" s="1"/>
  <c r="M631" i="8"/>
  <c r="P631" i="8" s="1"/>
  <c r="N630" i="8"/>
  <c r="M630" i="8"/>
  <c r="L630" i="8"/>
  <c r="O630" i="8" s="1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4" i="8" s="1"/>
  <c r="J595" i="8"/>
  <c r="I594" i="8"/>
  <c r="J593" i="8"/>
  <c r="J592" i="8" s="1"/>
  <c r="I593" i="8"/>
  <c r="J583" i="8"/>
  <c r="J582" i="8"/>
  <c r="J576" i="8" s="1"/>
  <c r="J559" i="8" s="1"/>
  <c r="J543" i="8" s="1"/>
  <c r="J577" i="8"/>
  <c r="I577" i="8"/>
  <c r="K577" i="8" s="1"/>
  <c r="I576" i="8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O557" i="8" s="1"/>
  <c r="P556" i="8"/>
  <c r="O556" i="8"/>
  <c r="N555" i="8"/>
  <c r="M555" i="8"/>
  <c r="N549" i="8"/>
  <c r="L549" i="8"/>
  <c r="P548" i="8"/>
  <c r="O548" i="8"/>
  <c r="N547" i="8"/>
  <c r="N546" i="8"/>
  <c r="O545" i="8"/>
  <c r="N545" i="8"/>
  <c r="L545" i="8"/>
  <c r="N544" i="8"/>
  <c r="I542" i="8"/>
  <c r="K542" i="8" s="1"/>
  <c r="I541" i="8"/>
  <c r="K541" i="8" s="1"/>
  <c r="I540" i="8"/>
  <c r="K540" i="8" s="1"/>
  <c r="I539" i="8"/>
  <c r="I538" i="8"/>
  <c r="K538" i="8" s="1"/>
  <c r="I537" i="8"/>
  <c r="P535" i="8"/>
  <c r="L535" i="8"/>
  <c r="O535" i="8" s="1"/>
  <c r="P534" i="8"/>
  <c r="O534" i="8"/>
  <c r="P533" i="8"/>
  <c r="N533" i="8"/>
  <c r="M533" i="8"/>
  <c r="L533" i="8"/>
  <c r="O533" i="8" s="1"/>
  <c r="P528" i="8"/>
  <c r="N528" i="8"/>
  <c r="L528" i="8"/>
  <c r="O528" i="8" s="1"/>
  <c r="P527" i="8"/>
  <c r="O527" i="8"/>
  <c r="P526" i="8"/>
  <c r="N526" i="8"/>
  <c r="M526" i="8"/>
  <c r="L526" i="8"/>
  <c r="O526" i="8" s="1"/>
  <c r="P525" i="8"/>
  <c r="N525" i="8"/>
  <c r="M525" i="8"/>
  <c r="O524" i="8"/>
  <c r="N524" i="8"/>
  <c r="N523" i="8" s="1"/>
  <c r="M524" i="8"/>
  <c r="P524" i="8" s="1"/>
  <c r="L524" i="8"/>
  <c r="M523" i="8"/>
  <c r="P523" i="8" s="1"/>
  <c r="K517" i="8"/>
  <c r="J517" i="8"/>
  <c r="J501" i="8" s="1"/>
  <c r="K516" i="8"/>
  <c r="P514" i="8"/>
  <c r="O514" i="8"/>
  <c r="P513" i="8"/>
  <c r="O513" i="8"/>
  <c r="P512" i="8"/>
  <c r="O512" i="8"/>
  <c r="N512" i="8"/>
  <c r="M512" i="8"/>
  <c r="L512" i="8"/>
  <c r="P507" i="8"/>
  <c r="O507" i="8"/>
  <c r="N507" i="8"/>
  <c r="P506" i="8"/>
  <c r="O506" i="8"/>
  <c r="O505" i="8"/>
  <c r="N505" i="8"/>
  <c r="M505" i="8"/>
  <c r="P505" i="8" s="1"/>
  <c r="L505" i="8"/>
  <c r="N504" i="8"/>
  <c r="N502" i="8" s="1"/>
  <c r="M504" i="8"/>
  <c r="P504" i="8" s="1"/>
  <c r="L504" i="8"/>
  <c r="O504" i="8" s="1"/>
  <c r="N503" i="8"/>
  <c r="M503" i="8"/>
  <c r="L503" i="8"/>
  <c r="O503" i="8" s="1"/>
  <c r="L502" i="8"/>
  <c r="O502" i="8" s="1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O479" i="8" s="1"/>
  <c r="P478" i="8"/>
  <c r="O478" i="8"/>
  <c r="P477" i="8"/>
  <c r="N477" i="8"/>
  <c r="M477" i="8"/>
  <c r="N472" i="8"/>
  <c r="N470" i="8" s="1"/>
  <c r="L472" i="8"/>
  <c r="M472" i="8" s="1"/>
  <c r="P471" i="8"/>
  <c r="O471" i="8"/>
  <c r="N468" i="8"/>
  <c r="M468" i="8"/>
  <c r="L468" i="8"/>
  <c r="O468" i="8" s="1"/>
  <c r="J466" i="8"/>
  <c r="I466" i="8"/>
  <c r="K466" i="8" s="1"/>
  <c r="J465" i="8"/>
  <c r="I465" i="8"/>
  <c r="I464" i="8"/>
  <c r="I463" i="8"/>
  <c r="I462" i="8"/>
  <c r="K462" i="8" s="1"/>
  <c r="I460" i="8"/>
  <c r="I442" i="8" s="1"/>
  <c r="K442" i="8" s="1"/>
  <c r="K458" i="8"/>
  <c r="P456" i="8"/>
  <c r="L456" i="8"/>
  <c r="P455" i="8"/>
  <c r="O455" i="8"/>
  <c r="N454" i="8"/>
  <c r="M454" i="8"/>
  <c r="P454" i="8" s="1"/>
  <c r="N449" i="8"/>
  <c r="L449" i="8"/>
  <c r="O449" i="8" s="1"/>
  <c r="P448" i="8"/>
  <c r="O448" i="8"/>
  <c r="N447" i="8"/>
  <c r="N446" i="8"/>
  <c r="P445" i="8"/>
  <c r="O445" i="8"/>
  <c r="N445" i="8"/>
  <c r="M445" i="8"/>
  <c r="L445" i="8"/>
  <c r="N444" i="8"/>
  <c r="J443" i="8"/>
  <c r="J442" i="8"/>
  <c r="I441" i="8"/>
  <c r="K441" i="8" s="1"/>
  <c r="I440" i="8"/>
  <c r="K440" i="8" s="1"/>
  <c r="I439" i="8"/>
  <c r="K439" i="8" s="1"/>
  <c r="I438" i="8"/>
  <c r="K438" i="8" s="1"/>
  <c r="I437" i="8"/>
  <c r="I435" i="8"/>
  <c r="K435" i="8" s="1"/>
  <c r="J434" i="8"/>
  <c r="P431" i="8"/>
  <c r="L431" i="8"/>
  <c r="P430" i="8"/>
  <c r="O430" i="8"/>
  <c r="N429" i="8"/>
  <c r="M429" i="8"/>
  <c r="P429" i="8" s="1"/>
  <c r="N424" i="8"/>
  <c r="L424" i="8"/>
  <c r="L422" i="8" s="1"/>
  <c r="O422" i="8" s="1"/>
  <c r="P423" i="8"/>
  <c r="O423" i="8"/>
  <c r="N422" i="8"/>
  <c r="N421" i="8"/>
  <c r="P420" i="8"/>
  <c r="N420" i="8"/>
  <c r="M420" i="8"/>
  <c r="L420" i="8"/>
  <c r="O420" i="8" s="1"/>
  <c r="N419" i="8"/>
  <c r="J418" i="8"/>
  <c r="K413" i="8"/>
  <c r="K412" i="8"/>
  <c r="N410" i="8"/>
  <c r="M410" i="8"/>
  <c r="P410" i="8" s="1"/>
  <c r="L410" i="8"/>
  <c r="O410" i="8" s="1"/>
  <c r="P409" i="8"/>
  <c r="O409" i="8"/>
  <c r="N407" i="8"/>
  <c r="N405" i="8" s="1"/>
  <c r="M407" i="8"/>
  <c r="P407" i="8" s="1"/>
  <c r="L407" i="8"/>
  <c r="P406" i="8"/>
  <c r="O406" i="8"/>
  <c r="P403" i="8"/>
  <c r="O403" i="8"/>
  <c r="N403" i="8"/>
  <c r="M403" i="8"/>
  <c r="L403" i="8"/>
  <c r="K401" i="8"/>
  <c r="J401" i="8"/>
  <c r="I401" i="8"/>
  <c r="K400" i="8"/>
  <c r="K399" i="8"/>
  <c r="N397" i="8"/>
  <c r="M397" i="8"/>
  <c r="L397" i="8"/>
  <c r="O397" i="8" s="1"/>
  <c r="P396" i="8"/>
  <c r="O396" i="8"/>
  <c r="N394" i="8"/>
  <c r="N392" i="8" s="1"/>
  <c r="M394" i="8"/>
  <c r="L394" i="8"/>
  <c r="P393" i="8"/>
  <c r="O393" i="8"/>
  <c r="P390" i="8"/>
  <c r="N390" i="8"/>
  <c r="M390" i="8"/>
  <c r="L390" i="8"/>
  <c r="O390" i="8" s="1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I362" i="8"/>
  <c r="K362" i="8" s="1"/>
  <c r="K361" i="8"/>
  <c r="J361" i="8"/>
  <c r="I360" i="8"/>
  <c r="K360" i="8" s="1"/>
  <c r="I359" i="8"/>
  <c r="K359" i="8" s="1"/>
  <c r="K358" i="8"/>
  <c r="J358" i="8"/>
  <c r="J355" i="8"/>
  <c r="I355" i="8"/>
  <c r="K355" i="8" s="1"/>
  <c r="N353" i="8"/>
  <c r="M353" i="8"/>
  <c r="M351" i="8" s="1"/>
  <c r="L353" i="8"/>
  <c r="P352" i="8"/>
  <c r="O352" i="8"/>
  <c r="N350" i="8"/>
  <c r="M350" i="8"/>
  <c r="L350" i="8"/>
  <c r="L348" i="8" s="1"/>
  <c r="P349" i="8"/>
  <c r="O349" i="8"/>
  <c r="O346" i="8"/>
  <c r="N346" i="8"/>
  <c r="M346" i="8"/>
  <c r="P346" i="8" s="1"/>
  <c r="L346" i="8"/>
  <c r="J343" i="8"/>
  <c r="J342" i="8"/>
  <c r="J341" i="8"/>
  <c r="J340" i="8"/>
  <c r="I340" i="8"/>
  <c r="J338" i="8"/>
  <c r="I338" i="8"/>
  <c r="N336" i="8"/>
  <c r="N334" i="8" s="1"/>
  <c r="M336" i="8"/>
  <c r="L336" i="8"/>
  <c r="O336" i="8" s="1"/>
  <c r="P335" i="8"/>
  <c r="O335" i="8"/>
  <c r="N333" i="8"/>
  <c r="M333" i="8"/>
  <c r="M331" i="8" s="1"/>
  <c r="L333" i="8"/>
  <c r="L331" i="8" s="1"/>
  <c r="P332" i="8"/>
  <c r="O332" i="8"/>
  <c r="O329" i="8"/>
  <c r="N329" i="8"/>
  <c r="M329" i="8"/>
  <c r="P329" i="8" s="1"/>
  <c r="L329" i="8"/>
  <c r="I327" i="8"/>
  <c r="I325" i="8"/>
  <c r="K325" i="8" s="1"/>
  <c r="N323" i="8"/>
  <c r="N321" i="8" s="1"/>
  <c r="M323" i="8"/>
  <c r="P323" i="8" s="1"/>
  <c r="L323" i="8"/>
  <c r="O323" i="8" s="1"/>
  <c r="P322" i="8"/>
  <c r="O322" i="8"/>
  <c r="N320" i="8"/>
  <c r="N318" i="8" s="1"/>
  <c r="M320" i="8"/>
  <c r="M318" i="8" s="1"/>
  <c r="P318" i="8" s="1"/>
  <c r="L320" i="8"/>
  <c r="O320" i="8" s="1"/>
  <c r="P319" i="8"/>
  <c r="O319" i="8"/>
  <c r="P316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I297" i="8" s="1"/>
  <c r="K297" i="8" s="1"/>
  <c r="N306" i="8"/>
  <c r="N304" i="8" s="1"/>
  <c r="M306" i="8"/>
  <c r="L306" i="8"/>
  <c r="P305" i="8"/>
  <c r="O305" i="8"/>
  <c r="N303" i="8"/>
  <c r="N301" i="8" s="1"/>
  <c r="M303" i="8"/>
  <c r="P303" i="8" s="1"/>
  <c r="L303" i="8"/>
  <c r="P302" i="8"/>
  <c r="O302" i="8"/>
  <c r="N299" i="8"/>
  <c r="M299" i="8"/>
  <c r="P299" i="8" s="1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87" i="8"/>
  <c r="K287" i="8" s="1"/>
  <c r="N285" i="8"/>
  <c r="N283" i="8" s="1"/>
  <c r="M285" i="8"/>
  <c r="L285" i="8"/>
  <c r="O285" i="8" s="1"/>
  <c r="P284" i="8"/>
  <c r="O284" i="8"/>
  <c r="N282" i="8"/>
  <c r="M282" i="8"/>
  <c r="L282" i="8"/>
  <c r="P281" i="8"/>
  <c r="O281" i="8"/>
  <c r="P278" i="8"/>
  <c r="N278" i="8"/>
  <c r="M278" i="8"/>
  <c r="L278" i="8"/>
  <c r="O278" i="8" s="1"/>
  <c r="J276" i="8"/>
  <c r="I271" i="8"/>
  <c r="K271" i="8" s="1"/>
  <c r="N269" i="8"/>
  <c r="N267" i="8" s="1"/>
  <c r="M269" i="8"/>
  <c r="M267" i="8" s="1"/>
  <c r="P267" i="8" s="1"/>
  <c r="L269" i="8"/>
  <c r="O269" i="8" s="1"/>
  <c r="P268" i="8"/>
  <c r="O268" i="8"/>
  <c r="N266" i="8"/>
  <c r="M266" i="8"/>
  <c r="M264" i="8" s="1"/>
  <c r="P264" i="8" s="1"/>
  <c r="L266" i="8"/>
  <c r="L264" i="8" s="1"/>
  <c r="P265" i="8"/>
  <c r="O265" i="8"/>
  <c r="P262" i="8"/>
  <c r="N262" i="8"/>
  <c r="M262" i="8"/>
  <c r="L262" i="8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K247" i="8"/>
  <c r="K246" i="8"/>
  <c r="I244" i="8"/>
  <c r="I237" i="8" s="1"/>
  <c r="K237" i="8" s="1"/>
  <c r="L242" i="8"/>
  <c r="L241" i="8"/>
  <c r="L240" i="8"/>
  <c r="L239" i="8"/>
  <c r="P238" i="8"/>
  <c r="N238" i="8"/>
  <c r="N227" i="8" s="1"/>
  <c r="J237" i="8"/>
  <c r="K236" i="8"/>
  <c r="J236" i="8"/>
  <c r="I236" i="8"/>
  <c r="K235" i="8"/>
  <c r="J235" i="8"/>
  <c r="I235" i="8"/>
  <c r="J233" i="8"/>
  <c r="N231" i="8"/>
  <c r="N230" i="8"/>
  <c r="N229" i="8"/>
  <c r="N228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L189" i="8"/>
  <c r="L187" i="8" s="1"/>
  <c r="O187" i="8" s="1"/>
  <c r="P188" i="8"/>
  <c r="O188" i="8"/>
  <c r="N186" i="8"/>
  <c r="M186" i="8"/>
  <c r="L186" i="8"/>
  <c r="L184" i="8" s="1"/>
  <c r="P185" i="8"/>
  <c r="O185" i="8"/>
  <c r="P182" i="8"/>
  <c r="N182" i="8"/>
  <c r="M182" i="8"/>
  <c r="L182" i="8"/>
  <c r="J177" i="8"/>
  <c r="I176" i="8"/>
  <c r="I174" i="8" s="1"/>
  <c r="J174" i="8"/>
  <c r="N173" i="8"/>
  <c r="N171" i="8" s="1"/>
  <c r="M173" i="8"/>
  <c r="L173" i="8"/>
  <c r="O173" i="8" s="1"/>
  <c r="P172" i="8"/>
  <c r="O172" i="8"/>
  <c r="N170" i="8"/>
  <c r="M170" i="8"/>
  <c r="L170" i="8"/>
  <c r="L168" i="8" s="1"/>
  <c r="P169" i="8"/>
  <c r="O169" i="8"/>
  <c r="P166" i="8"/>
  <c r="N166" i="8"/>
  <c r="M166" i="8"/>
  <c r="L166" i="8"/>
  <c r="J164" i="8"/>
  <c r="I159" i="8"/>
  <c r="K159" i="8" s="1"/>
  <c r="N157" i="8"/>
  <c r="N155" i="8" s="1"/>
  <c r="M157" i="8"/>
  <c r="M155" i="8" s="1"/>
  <c r="P155" i="8" s="1"/>
  <c r="L157" i="8"/>
  <c r="O157" i="8" s="1"/>
  <c r="P156" i="8"/>
  <c r="O156" i="8"/>
  <c r="N154" i="8"/>
  <c r="N152" i="8" s="1"/>
  <c r="M154" i="8"/>
  <c r="M152" i="8" s="1"/>
  <c r="P152" i="8" s="1"/>
  <c r="L154" i="8"/>
  <c r="P153" i="8"/>
  <c r="O153" i="8"/>
  <c r="P150" i="8"/>
  <c r="N150" i="8"/>
  <c r="M150" i="8"/>
  <c r="L150" i="8"/>
  <c r="J148" i="8"/>
  <c r="I146" i="8"/>
  <c r="I145" i="8"/>
  <c r="K145" i="8" s="1"/>
  <c r="I144" i="8"/>
  <c r="K144" i="8" s="1"/>
  <c r="N140" i="8"/>
  <c r="N138" i="8" s="1"/>
  <c r="M140" i="8"/>
  <c r="P140" i="8" s="1"/>
  <c r="L140" i="8"/>
  <c r="P139" i="8"/>
  <c r="O139" i="8"/>
  <c r="N137" i="8"/>
  <c r="N135" i="8" s="1"/>
  <c r="M137" i="8"/>
  <c r="L137" i="8"/>
  <c r="P136" i="8"/>
  <c r="O136" i="8"/>
  <c r="O133" i="8"/>
  <c r="N133" i="8"/>
  <c r="M133" i="8"/>
  <c r="P133" i="8" s="1"/>
  <c r="L133" i="8"/>
  <c r="J130" i="8"/>
  <c r="N127" i="8"/>
  <c r="N125" i="8" s="1"/>
  <c r="M127" i="8"/>
  <c r="M125" i="8" s="1"/>
  <c r="P125" i="8" s="1"/>
  <c r="L127" i="8"/>
  <c r="O127" i="8" s="1"/>
  <c r="P126" i="8"/>
  <c r="O126" i="8"/>
  <c r="N124" i="8"/>
  <c r="M124" i="8"/>
  <c r="M122" i="8" s="1"/>
  <c r="P122" i="8" s="1"/>
  <c r="L124" i="8"/>
  <c r="O124" i="8" s="1"/>
  <c r="P123" i="8"/>
  <c r="O123" i="8"/>
  <c r="P120" i="8"/>
  <c r="N120" i="8"/>
  <c r="M120" i="8"/>
  <c r="L120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I87" i="8" s="1"/>
  <c r="K87" i="8" s="1"/>
  <c r="J98" i="8"/>
  <c r="I98" i="8"/>
  <c r="I86" i="8" s="1"/>
  <c r="K86" i="8" s="1"/>
  <c r="N96" i="8"/>
  <c r="N94" i="8" s="1"/>
  <c r="M96" i="8"/>
  <c r="L96" i="8"/>
  <c r="P95" i="8"/>
  <c r="O95" i="8"/>
  <c r="N93" i="8"/>
  <c r="N91" i="8" s="1"/>
  <c r="M93" i="8"/>
  <c r="L93" i="8"/>
  <c r="L91" i="8" s="1"/>
  <c r="P92" i="8"/>
  <c r="O92" i="8"/>
  <c r="P89" i="8"/>
  <c r="N89" i="8"/>
  <c r="M89" i="8"/>
  <c r="L89" i="8"/>
  <c r="J87" i="8"/>
  <c r="J86" i="8"/>
  <c r="I84" i="8"/>
  <c r="K84" i="8" s="1"/>
  <c r="I83" i="8"/>
  <c r="K83" i="8" s="1"/>
  <c r="I82" i="8"/>
  <c r="K82" i="8" s="1"/>
  <c r="I81" i="8"/>
  <c r="K81" i="8" s="1"/>
  <c r="I80" i="8"/>
  <c r="K80" i="8" s="1"/>
  <c r="I79" i="8"/>
  <c r="K79" i="8" s="1"/>
  <c r="I78" i="8"/>
  <c r="J77" i="8"/>
  <c r="J76" i="8"/>
  <c r="J64" i="8" s="1"/>
  <c r="N74" i="8"/>
  <c r="M74" i="8"/>
  <c r="P74" i="8" s="1"/>
  <c r="L74" i="8"/>
  <c r="P73" i="8"/>
  <c r="O73" i="8"/>
  <c r="N71" i="8"/>
  <c r="N69" i="8" s="1"/>
  <c r="M71" i="8"/>
  <c r="L71" i="8"/>
  <c r="P70" i="8"/>
  <c r="O70" i="8"/>
  <c r="P67" i="8"/>
  <c r="O67" i="8"/>
  <c r="N67" i="8"/>
  <c r="M67" i="8"/>
  <c r="L67" i="8"/>
  <c r="J65" i="8"/>
  <c r="N61" i="8"/>
  <c r="N59" i="8" s="1"/>
  <c r="M61" i="8"/>
  <c r="M59" i="8" s="1"/>
  <c r="L61" i="8"/>
  <c r="P60" i="8"/>
  <c r="O60" i="8"/>
  <c r="N58" i="8"/>
  <c r="N56" i="8" s="1"/>
  <c r="M58" i="8"/>
  <c r="M56" i="8" s="1"/>
  <c r="L58" i="8"/>
  <c r="L56" i="8" s="1"/>
  <c r="P57" i="8"/>
  <c r="O57" i="8"/>
  <c r="N54" i="8"/>
  <c r="M54" i="8"/>
  <c r="P54" i="8" s="1"/>
  <c r="L54" i="8"/>
  <c r="O54" i="8" s="1"/>
  <c r="N49" i="8"/>
  <c r="N47" i="8" s="1"/>
  <c r="M49" i="8"/>
  <c r="P49" i="8" s="1"/>
  <c r="L49" i="8"/>
  <c r="P48" i="8"/>
  <c r="O48" i="8"/>
  <c r="N46" i="8"/>
  <c r="M46" i="8"/>
  <c r="M44" i="8" s="1"/>
  <c r="L46" i="8"/>
  <c r="P45" i="8"/>
  <c r="O45" i="8"/>
  <c r="P42" i="8"/>
  <c r="O42" i="8"/>
  <c r="N42" i="8"/>
  <c r="M42" i="8"/>
  <c r="L42" i="8"/>
  <c r="N36" i="8"/>
  <c r="M36" i="8"/>
  <c r="P36" i="8" s="1"/>
  <c r="N35" i="8"/>
  <c r="N34" i="8" s="1"/>
  <c r="M35" i="8"/>
  <c r="L35" i="8"/>
  <c r="O35" i="8" s="1"/>
  <c r="N33" i="8"/>
  <c r="P32" i="8"/>
  <c r="O32" i="8"/>
  <c r="N32" i="8"/>
  <c r="N29" i="8" s="1"/>
  <c r="N28" i="8" s="1"/>
  <c r="M32" i="8"/>
  <c r="L32" i="8"/>
  <c r="N31" i="8"/>
  <c r="N30" i="8"/>
  <c r="L29" i="8"/>
  <c r="O29" i="8" s="1"/>
  <c r="P25" i="8"/>
  <c r="O25" i="8"/>
  <c r="N25" i="8"/>
  <c r="M25" i="8"/>
  <c r="L25" i="8"/>
  <c r="N22" i="8"/>
  <c r="M22" i="8"/>
  <c r="L22" i="8"/>
  <c r="O22" i="8" s="1"/>
  <c r="N19" i="8"/>
  <c r="N15" i="8"/>
  <c r="L15" i="8"/>
  <c r="O15" i="8" s="1"/>
  <c r="N12" i="8"/>
  <c r="N9" i="8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P809" i="7"/>
  <c r="O809" i="7"/>
  <c r="O808" i="7"/>
  <c r="N808" i="7"/>
  <c r="M808" i="7"/>
  <c r="P808" i="7" s="1"/>
  <c r="L808" i="7"/>
  <c r="N807" i="7"/>
  <c r="N805" i="7" s="1"/>
  <c r="M807" i="7"/>
  <c r="P807" i="7" s="1"/>
  <c r="L807" i="7"/>
  <c r="O807" i="7" s="1"/>
  <c r="N806" i="7"/>
  <c r="M806" i="7"/>
  <c r="P806" i="7" s="1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P796" i="7"/>
  <c r="O796" i="7"/>
  <c r="N796" i="7"/>
  <c r="M796" i="7"/>
  <c r="L796" i="7"/>
  <c r="P791" i="7"/>
  <c r="N791" i="7"/>
  <c r="N788" i="7" s="1"/>
  <c r="N786" i="7" s="1"/>
  <c r="L791" i="7"/>
  <c r="L788" i="7" s="1"/>
  <c r="O788" i="7" s="1"/>
  <c r="P790" i="7"/>
  <c r="O790" i="7"/>
  <c r="M789" i="7"/>
  <c r="P789" i="7" s="1"/>
  <c r="M788" i="7"/>
  <c r="P788" i="7" s="1"/>
  <c r="N787" i="7"/>
  <c r="M787" i="7"/>
  <c r="P787" i="7" s="1"/>
  <c r="L787" i="7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N773" i="7" s="1"/>
  <c r="P774" i="7"/>
  <c r="O774" i="7"/>
  <c r="P773" i="7"/>
  <c r="O773" i="7"/>
  <c r="M773" i="7"/>
  <c r="L773" i="7"/>
  <c r="O772" i="7"/>
  <c r="N772" i="7"/>
  <c r="M772" i="7"/>
  <c r="P772" i="7" s="1"/>
  <c r="L772" i="7"/>
  <c r="N771" i="7"/>
  <c r="M771" i="7"/>
  <c r="L771" i="7"/>
  <c r="O771" i="7" s="1"/>
  <c r="L770" i="7"/>
  <c r="O770" i="7" s="1"/>
  <c r="K769" i="7"/>
  <c r="J769" i="7"/>
  <c r="P766" i="7"/>
  <c r="O766" i="7"/>
  <c r="P765" i="7"/>
  <c r="O765" i="7"/>
  <c r="P764" i="7"/>
  <c r="N764" i="7"/>
  <c r="M764" i="7"/>
  <c r="L764" i="7"/>
  <c r="O764" i="7" s="1"/>
  <c r="P759" i="7"/>
  <c r="O759" i="7"/>
  <c r="N759" i="7"/>
  <c r="N757" i="7" s="1"/>
  <c r="P758" i="7"/>
  <c r="O758" i="7"/>
  <c r="P757" i="7"/>
  <c r="O757" i="7"/>
  <c r="M757" i="7"/>
  <c r="L757" i="7"/>
  <c r="O756" i="7"/>
  <c r="N756" i="7"/>
  <c r="M756" i="7"/>
  <c r="P756" i="7" s="1"/>
  <c r="L756" i="7"/>
  <c r="N755" i="7"/>
  <c r="N754" i="7" s="1"/>
  <c r="M755" i="7"/>
  <c r="L755" i="7"/>
  <c r="O755" i="7" s="1"/>
  <c r="L754" i="7"/>
  <c r="O754" i="7" s="1"/>
  <c r="K753" i="7"/>
  <c r="J753" i="7"/>
  <c r="P749" i="7"/>
  <c r="O749" i="7"/>
  <c r="P748" i="7"/>
  <c r="O748" i="7"/>
  <c r="P747" i="7"/>
  <c r="N747" i="7"/>
  <c r="M747" i="7"/>
  <c r="L747" i="7"/>
  <c r="O747" i="7" s="1"/>
  <c r="P742" i="7"/>
  <c r="O742" i="7"/>
  <c r="N742" i="7"/>
  <c r="N740" i="7" s="1"/>
  <c r="P741" i="7"/>
  <c r="O741" i="7"/>
  <c r="P740" i="7"/>
  <c r="O740" i="7"/>
  <c r="M740" i="7"/>
  <c r="L740" i="7"/>
  <c r="O739" i="7"/>
  <c r="N739" i="7"/>
  <c r="M739" i="7"/>
  <c r="P739" i="7" s="1"/>
  <c r="L739" i="7"/>
  <c r="N738" i="7"/>
  <c r="M738" i="7"/>
  <c r="L738" i="7"/>
  <c r="O738" i="7" s="1"/>
  <c r="L737" i="7"/>
  <c r="O737" i="7" s="1"/>
  <c r="K736" i="7"/>
  <c r="J736" i="7"/>
  <c r="J729" i="7"/>
  <c r="I729" i="7"/>
  <c r="K729" i="7" s="1"/>
  <c r="J728" i="7"/>
  <c r="I728" i="7"/>
  <c r="J727" i="7"/>
  <c r="J726" i="7"/>
  <c r="I726" i="7"/>
  <c r="J725" i="7"/>
  <c r="I725" i="7"/>
  <c r="J724" i="7"/>
  <c r="J723" i="7"/>
  <c r="I723" i="7"/>
  <c r="I722" i="7"/>
  <c r="I721" i="7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N690" i="7"/>
  <c r="L690" i="7"/>
  <c r="M690" i="7" s="1"/>
  <c r="M687" i="7" s="1"/>
  <c r="P687" i="7" s="1"/>
  <c r="N687" i="7"/>
  <c r="N686" i="7"/>
  <c r="N685" i="7" s="1"/>
  <c r="M686" i="7"/>
  <c r="L686" i="7"/>
  <c r="O686" i="7" s="1"/>
  <c r="J679" i="7"/>
  <c r="J678" i="7"/>
  <c r="I678" i="7"/>
  <c r="K678" i="7" s="1"/>
  <c r="J675" i="7"/>
  <c r="I671" i="7"/>
  <c r="K671" i="7" s="1"/>
  <c r="I670" i="7"/>
  <c r="K670" i="7" s="1"/>
  <c r="I669" i="7"/>
  <c r="K673" i="7" s="1"/>
  <c r="P667" i="7"/>
  <c r="O667" i="7"/>
  <c r="P666" i="7"/>
  <c r="O666" i="7"/>
  <c r="N665" i="7"/>
  <c r="M665" i="7"/>
  <c r="P665" i="7" s="1"/>
  <c r="L665" i="7"/>
  <c r="O665" i="7" s="1"/>
  <c r="N660" i="7"/>
  <c r="L660" i="7"/>
  <c r="L657" i="7" s="1"/>
  <c r="O657" i="7" s="1"/>
  <c r="P659" i="7"/>
  <c r="O659" i="7"/>
  <c r="N658" i="7"/>
  <c r="N657" i="7"/>
  <c r="P656" i="7"/>
  <c r="N656" i="7"/>
  <c r="M656" i="7"/>
  <c r="L656" i="7"/>
  <c r="N655" i="7"/>
  <c r="K652" i="7"/>
  <c r="J652" i="7"/>
  <c r="J651" i="7"/>
  <c r="J628" i="7" s="1"/>
  <c r="I651" i="7"/>
  <c r="K650" i="7"/>
  <c r="J650" i="7"/>
  <c r="J649" i="7"/>
  <c r="I649" i="7"/>
  <c r="K649" i="7" s="1"/>
  <c r="K648" i="7"/>
  <c r="J648" i="7"/>
  <c r="J647" i="7"/>
  <c r="I647" i="7"/>
  <c r="K647" i="7" s="1"/>
  <c r="K646" i="7"/>
  <c r="J646" i="7"/>
  <c r="K645" i="7"/>
  <c r="J645" i="7"/>
  <c r="I644" i="7"/>
  <c r="K644" i="7" s="1"/>
  <c r="I643" i="7"/>
  <c r="K643" i="7" s="1"/>
  <c r="P641" i="7"/>
  <c r="L641" i="7"/>
  <c r="P640" i="7"/>
  <c r="O640" i="7"/>
  <c r="P639" i="7"/>
  <c r="N639" i="7"/>
  <c r="M639" i="7"/>
  <c r="P634" i="7"/>
  <c r="N634" i="7"/>
  <c r="L634" i="7"/>
  <c r="L632" i="7" s="1"/>
  <c r="O632" i="7" s="1"/>
  <c r="P633" i="7"/>
  <c r="O633" i="7"/>
  <c r="P632" i="7"/>
  <c r="N632" i="7"/>
  <c r="M632" i="7"/>
  <c r="N631" i="7"/>
  <c r="M631" i="7"/>
  <c r="P631" i="7" s="1"/>
  <c r="N630" i="7"/>
  <c r="N629" i="7" s="1"/>
  <c r="M630" i="7"/>
  <c r="P630" i="7" s="1"/>
  <c r="L630" i="7"/>
  <c r="O630" i="7" s="1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3" i="7" s="1"/>
  <c r="J596" i="7"/>
  <c r="J594" i="7" s="1"/>
  <c r="J595" i="7"/>
  <c r="I594" i="7"/>
  <c r="I593" i="7"/>
  <c r="I592" i="7" s="1"/>
  <c r="J583" i="7"/>
  <c r="J577" i="7" s="1"/>
  <c r="J582" i="7"/>
  <c r="I577" i="7"/>
  <c r="J576" i="7"/>
  <c r="J559" i="7" s="1"/>
  <c r="I576" i="7"/>
  <c r="J569" i="7"/>
  <c r="I569" i="7"/>
  <c r="K569" i="7" s="1"/>
  <c r="J568" i="7"/>
  <c r="I568" i="7"/>
  <c r="J561" i="7"/>
  <c r="I561" i="7"/>
  <c r="K561" i="7" s="1"/>
  <c r="J560" i="7"/>
  <c r="I560" i="7"/>
  <c r="K560" i="7" s="1"/>
  <c r="P557" i="7"/>
  <c r="L557" i="7"/>
  <c r="L555" i="7" s="1"/>
  <c r="O555" i="7" s="1"/>
  <c r="P556" i="7"/>
  <c r="O556" i="7"/>
  <c r="N555" i="7"/>
  <c r="N545" i="7" s="1"/>
  <c r="N544" i="7" s="1"/>
  <c r="M555" i="7"/>
  <c r="N549" i="7"/>
  <c r="L549" i="7"/>
  <c r="M549" i="7" s="1"/>
  <c r="P549" i="7" s="1"/>
  <c r="P548" i="7"/>
  <c r="O548" i="7"/>
  <c r="N547" i="7"/>
  <c r="N546" i="7"/>
  <c r="L545" i="7"/>
  <c r="J543" i="7"/>
  <c r="I542" i="7"/>
  <c r="K542" i="7" s="1"/>
  <c r="I541" i="7"/>
  <c r="K541" i="7" s="1"/>
  <c r="I540" i="7"/>
  <c r="K540" i="7" s="1"/>
  <c r="I539" i="7"/>
  <c r="K539" i="7" s="1"/>
  <c r="I538" i="7"/>
  <c r="I537" i="7"/>
  <c r="K537" i="7" s="1"/>
  <c r="P535" i="7"/>
  <c r="L535" i="7"/>
  <c r="P534" i="7"/>
  <c r="O534" i="7"/>
  <c r="N533" i="7"/>
  <c r="M533" i="7"/>
  <c r="P533" i="7" s="1"/>
  <c r="P528" i="7"/>
  <c r="N528" i="7"/>
  <c r="L528" i="7"/>
  <c r="O528" i="7" s="1"/>
  <c r="P527" i="7"/>
  <c r="O527" i="7"/>
  <c r="P526" i="7"/>
  <c r="N526" i="7"/>
  <c r="M526" i="7"/>
  <c r="L526" i="7"/>
  <c r="O526" i="7" s="1"/>
  <c r="P525" i="7"/>
  <c r="N525" i="7"/>
  <c r="M525" i="7"/>
  <c r="P524" i="7"/>
  <c r="O524" i="7"/>
  <c r="N524" i="7"/>
  <c r="M524" i="7"/>
  <c r="M523" i="7" s="1"/>
  <c r="P523" i="7" s="1"/>
  <c r="L524" i="7"/>
  <c r="N523" i="7"/>
  <c r="K517" i="7"/>
  <c r="J517" i="7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N505" i="7" s="1"/>
  <c r="P506" i="7"/>
  <c r="O506" i="7"/>
  <c r="P505" i="7"/>
  <c r="O505" i="7"/>
  <c r="M505" i="7"/>
  <c r="L505" i="7"/>
  <c r="O504" i="7"/>
  <c r="N504" i="7"/>
  <c r="M504" i="7"/>
  <c r="P504" i="7" s="1"/>
  <c r="L504" i="7"/>
  <c r="N503" i="7"/>
  <c r="N502" i="7" s="1"/>
  <c r="M503" i="7"/>
  <c r="P503" i="7" s="1"/>
  <c r="L503" i="7"/>
  <c r="O503" i="7" s="1"/>
  <c r="M502" i="7"/>
  <c r="P502" i="7" s="1"/>
  <c r="L502" i="7"/>
  <c r="O502" i="7" s="1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L477" i="7" s="1"/>
  <c r="O477" i="7" s="1"/>
  <c r="P478" i="7"/>
  <c r="O478" i="7"/>
  <c r="P477" i="7"/>
  <c r="N477" i="7"/>
  <c r="M477" i="7"/>
  <c r="N476" i="7"/>
  <c r="N472" i="7" s="1"/>
  <c r="L472" i="7"/>
  <c r="M472" i="7" s="1"/>
  <c r="P471" i="7"/>
  <c r="O471" i="7"/>
  <c r="P468" i="7"/>
  <c r="O468" i="7"/>
  <c r="N468" i="7"/>
  <c r="M468" i="7"/>
  <c r="L468" i="7"/>
  <c r="J466" i="7"/>
  <c r="I466" i="7"/>
  <c r="K466" i="7" s="1"/>
  <c r="J465" i="7"/>
  <c r="I465" i="7"/>
  <c r="K465" i="7" s="1"/>
  <c r="I464" i="7"/>
  <c r="I463" i="7"/>
  <c r="I462" i="7"/>
  <c r="I443" i="7" s="1"/>
  <c r="I460" i="7"/>
  <c r="K460" i="7" s="1"/>
  <c r="K458" i="7"/>
  <c r="P456" i="7"/>
  <c r="L456" i="7"/>
  <c r="L454" i="7" s="1"/>
  <c r="O454" i="7" s="1"/>
  <c r="P455" i="7"/>
  <c r="O455" i="7"/>
  <c r="N454" i="7"/>
  <c r="M454" i="7"/>
  <c r="P454" i="7" s="1"/>
  <c r="N449" i="7"/>
  <c r="L449" i="7"/>
  <c r="L446" i="7" s="1"/>
  <c r="O446" i="7" s="1"/>
  <c r="P448" i="7"/>
  <c r="O448" i="7"/>
  <c r="N447" i="7"/>
  <c r="N446" i="7"/>
  <c r="P445" i="7"/>
  <c r="N445" i="7"/>
  <c r="M445" i="7"/>
  <c r="L445" i="7"/>
  <c r="N444" i="7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I433" i="7" s="1"/>
  <c r="I417" i="7" s="1"/>
  <c r="J434" i="7"/>
  <c r="J418" i="7" s="1"/>
  <c r="P431" i="7"/>
  <c r="L431" i="7"/>
  <c r="P430" i="7"/>
  <c r="O430" i="7"/>
  <c r="N429" i="7"/>
  <c r="M429" i="7"/>
  <c r="P429" i="7" s="1"/>
  <c r="N428" i="7"/>
  <c r="N424" i="7"/>
  <c r="N422" i="7" s="1"/>
  <c r="L424" i="7"/>
  <c r="M424" i="7" s="1"/>
  <c r="P423" i="7"/>
  <c r="O423" i="7"/>
  <c r="N421" i="7"/>
  <c r="N420" i="7"/>
  <c r="M420" i="7"/>
  <c r="L420" i="7"/>
  <c r="O420" i="7" s="1"/>
  <c r="K413" i="7"/>
  <c r="K412" i="7"/>
  <c r="N410" i="7"/>
  <c r="N408" i="7" s="1"/>
  <c r="M410" i="7"/>
  <c r="L410" i="7"/>
  <c r="P409" i="7"/>
  <c r="O409" i="7"/>
  <c r="N407" i="7"/>
  <c r="N405" i="7" s="1"/>
  <c r="M407" i="7"/>
  <c r="P407" i="7" s="1"/>
  <c r="L407" i="7"/>
  <c r="P406" i="7"/>
  <c r="O406" i="7"/>
  <c r="N403" i="7"/>
  <c r="M403" i="7"/>
  <c r="L403" i="7"/>
  <c r="O403" i="7" s="1"/>
  <c r="K401" i="7"/>
  <c r="J401" i="7"/>
  <c r="I401" i="7"/>
  <c r="K400" i="7"/>
  <c r="K399" i="7"/>
  <c r="N397" i="7"/>
  <c r="N395" i="7" s="1"/>
  <c r="M397" i="7"/>
  <c r="M395" i="7" s="1"/>
  <c r="P395" i="7" s="1"/>
  <c r="L397" i="7"/>
  <c r="L395" i="7" s="1"/>
  <c r="O395" i="7" s="1"/>
  <c r="P396" i="7"/>
  <c r="O396" i="7"/>
  <c r="N394" i="7"/>
  <c r="N392" i="7" s="1"/>
  <c r="M394" i="7"/>
  <c r="P394" i="7" s="1"/>
  <c r="L394" i="7"/>
  <c r="P393" i="7"/>
  <c r="O393" i="7"/>
  <c r="O390" i="7"/>
  <c r="N390" i="7"/>
  <c r="M390" i="7"/>
  <c r="P390" i="7" s="1"/>
  <c r="L390" i="7"/>
  <c r="J388" i="7"/>
  <c r="I388" i="7"/>
  <c r="K388" i="7" s="1"/>
  <c r="J385" i="7"/>
  <c r="I385" i="7"/>
  <c r="K385" i="7" s="1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L353" i="7"/>
  <c r="L351" i="7" s="1"/>
  <c r="P352" i="7"/>
  <c r="O352" i="7"/>
  <c r="N350" i="7"/>
  <c r="N348" i="7" s="1"/>
  <c r="M350" i="7"/>
  <c r="M348" i="7" s="1"/>
  <c r="L350" i="7"/>
  <c r="L348" i="7" s="1"/>
  <c r="P349" i="7"/>
  <c r="O349" i="7"/>
  <c r="O346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P335" i="7"/>
  <c r="O335" i="7"/>
  <c r="N333" i="7"/>
  <c r="M333" i="7"/>
  <c r="M331" i="7" s="1"/>
  <c r="L333" i="7"/>
  <c r="L331" i="7" s="1"/>
  <c r="P332" i="7"/>
  <c r="O332" i="7"/>
  <c r="O329" i="7"/>
  <c r="N329" i="7"/>
  <c r="M329" i="7"/>
  <c r="P329" i="7" s="1"/>
  <c r="L329" i="7"/>
  <c r="I327" i="7"/>
  <c r="I325" i="7"/>
  <c r="N323" i="7"/>
  <c r="N321" i="7" s="1"/>
  <c r="M323" i="7"/>
  <c r="P323" i="7" s="1"/>
  <c r="L323" i="7"/>
  <c r="P322" i="7"/>
  <c r="O322" i="7"/>
  <c r="N320" i="7"/>
  <c r="N318" i="7" s="1"/>
  <c r="M320" i="7"/>
  <c r="L320" i="7"/>
  <c r="O320" i="7" s="1"/>
  <c r="P319" i="7"/>
  <c r="O319" i="7"/>
  <c r="P316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P306" i="7" s="1"/>
  <c r="L306" i="7"/>
  <c r="P305" i="7"/>
  <c r="O305" i="7"/>
  <c r="N303" i="7"/>
  <c r="M303" i="7"/>
  <c r="P303" i="7" s="1"/>
  <c r="L303" i="7"/>
  <c r="P302" i="7"/>
  <c r="O302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J288" i="7" s="1"/>
  <c r="J275" i="7" s="1"/>
  <c r="I287" i="7"/>
  <c r="K287" i="7" s="1"/>
  <c r="N285" i="7"/>
  <c r="N283" i="7" s="1"/>
  <c r="M285" i="7"/>
  <c r="L285" i="7"/>
  <c r="O285" i="7" s="1"/>
  <c r="P284" i="7"/>
  <c r="O284" i="7"/>
  <c r="N282" i="7"/>
  <c r="N280" i="7" s="1"/>
  <c r="M282" i="7"/>
  <c r="M280" i="7" s="1"/>
  <c r="P280" i="7" s="1"/>
  <c r="L282" i="7"/>
  <c r="L280" i="7" s="1"/>
  <c r="O280" i="7" s="1"/>
  <c r="P281" i="7"/>
  <c r="O281" i="7"/>
  <c r="P278" i="7"/>
  <c r="O278" i="7"/>
  <c r="N278" i="7"/>
  <c r="M278" i="7"/>
  <c r="L278" i="7"/>
  <c r="J276" i="7"/>
  <c r="I271" i="7"/>
  <c r="I260" i="7" s="1"/>
  <c r="K260" i="7" s="1"/>
  <c r="N269" i="7"/>
  <c r="N267" i="7" s="1"/>
  <c r="M269" i="7"/>
  <c r="P269" i="7" s="1"/>
  <c r="L269" i="7"/>
  <c r="P268" i="7"/>
  <c r="O268" i="7"/>
  <c r="N266" i="7"/>
  <c r="M266" i="7"/>
  <c r="P266" i="7" s="1"/>
  <c r="L266" i="7"/>
  <c r="P265" i="7"/>
  <c r="O265" i="7"/>
  <c r="P262" i="7"/>
  <c r="N262" i="7"/>
  <c r="M262" i="7"/>
  <c r="L262" i="7"/>
  <c r="O262" i="7" s="1"/>
  <c r="J260" i="7"/>
  <c r="K258" i="7"/>
  <c r="K257" i="7"/>
  <c r="I255" i="7"/>
  <c r="K255" i="7" s="1"/>
  <c r="L253" i="7"/>
  <c r="L252" i="7"/>
  <c r="L251" i="7"/>
  <c r="L250" i="7"/>
  <c r="P249" i="7"/>
  <c r="N249" i="7"/>
  <c r="J248" i="7"/>
  <c r="K247" i="7"/>
  <c r="K246" i="7"/>
  <c r="I244" i="7"/>
  <c r="L242" i="7"/>
  <c r="L241" i="7"/>
  <c r="L240" i="7"/>
  <c r="L239" i="7"/>
  <c r="P238" i="7"/>
  <c r="N238" i="7"/>
  <c r="J237" i="7"/>
  <c r="K236" i="7"/>
  <c r="J236" i="7"/>
  <c r="I236" i="7"/>
  <c r="K235" i="7"/>
  <c r="J235" i="7"/>
  <c r="I235" i="7"/>
  <c r="J233" i="7"/>
  <c r="N231" i="7"/>
  <c r="N230" i="7"/>
  <c r="N229" i="7"/>
  <c r="N228" i="7"/>
  <c r="N227" i="7"/>
  <c r="J226" i="7"/>
  <c r="I225" i="7"/>
  <c r="K225" i="7" s="1"/>
  <c r="I224" i="7"/>
  <c r="I216" i="7" s="1"/>
  <c r="K216" i="7" s="1"/>
  <c r="I223" i="7"/>
  <c r="K223" i="7" s="1"/>
  <c r="L220" i="7"/>
  <c r="L219" i="7"/>
  <c r="L218" i="7"/>
  <c r="P217" i="7"/>
  <c r="N217" i="7"/>
  <c r="J216" i="7"/>
  <c r="I215" i="7"/>
  <c r="I208" i="7" s="1"/>
  <c r="K208" i="7" s="1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P191" i="7"/>
  <c r="L191" i="7"/>
  <c r="O191" i="7" s="1"/>
  <c r="J190" i="7"/>
  <c r="N189" i="7"/>
  <c r="N187" i="7" s="1"/>
  <c r="M189" i="7"/>
  <c r="P189" i="7" s="1"/>
  <c r="L189" i="7"/>
  <c r="O189" i="7" s="1"/>
  <c r="P188" i="7"/>
  <c r="O188" i="7"/>
  <c r="N186" i="7"/>
  <c r="N184" i="7" s="1"/>
  <c r="M186" i="7"/>
  <c r="L186" i="7"/>
  <c r="L184" i="7" s="1"/>
  <c r="P185" i="7"/>
  <c r="O185" i="7"/>
  <c r="O182" i="7"/>
  <c r="N182" i="7"/>
  <c r="M182" i="7"/>
  <c r="L182" i="7"/>
  <c r="J180" i="7"/>
  <c r="J177" i="7"/>
  <c r="I176" i="7"/>
  <c r="K176" i="7" s="1"/>
  <c r="J174" i="7"/>
  <c r="J164" i="7" s="1"/>
  <c r="N173" i="7"/>
  <c r="N171" i="7" s="1"/>
  <c r="M173" i="7"/>
  <c r="P173" i="7" s="1"/>
  <c r="L173" i="7"/>
  <c r="L171" i="7" s="1"/>
  <c r="O171" i="7" s="1"/>
  <c r="P172" i="7"/>
  <c r="O172" i="7"/>
  <c r="N170" i="7"/>
  <c r="N168" i="7" s="1"/>
  <c r="M170" i="7"/>
  <c r="M168" i="7" s="1"/>
  <c r="L170" i="7"/>
  <c r="L168" i="7" s="1"/>
  <c r="P169" i="7"/>
  <c r="O169" i="7"/>
  <c r="O166" i="7"/>
  <c r="N166" i="7"/>
  <c r="M166" i="7"/>
  <c r="P166" i="7" s="1"/>
  <c r="L166" i="7"/>
  <c r="I159" i="7"/>
  <c r="K159" i="7" s="1"/>
  <c r="N157" i="7"/>
  <c r="N155" i="7" s="1"/>
  <c r="M157" i="7"/>
  <c r="P157" i="7" s="1"/>
  <c r="L157" i="7"/>
  <c r="O157" i="7" s="1"/>
  <c r="P156" i="7"/>
  <c r="O156" i="7"/>
  <c r="N154" i="7"/>
  <c r="N152" i="7" s="1"/>
  <c r="M154" i="7"/>
  <c r="M152" i="7" s="1"/>
  <c r="P152" i="7" s="1"/>
  <c r="L154" i="7"/>
  <c r="O154" i="7" s="1"/>
  <c r="P153" i="7"/>
  <c r="O153" i="7"/>
  <c r="P150" i="7"/>
  <c r="O150" i="7"/>
  <c r="N150" i="7"/>
  <c r="M150" i="7"/>
  <c r="L150" i="7"/>
  <c r="J148" i="7"/>
  <c r="I146" i="7"/>
  <c r="K146" i="7" s="1"/>
  <c r="I145" i="7"/>
  <c r="I143" i="7" s="1"/>
  <c r="I144" i="7"/>
  <c r="N140" i="7"/>
  <c r="N138" i="7" s="1"/>
  <c r="M140" i="7"/>
  <c r="L140" i="7"/>
  <c r="O140" i="7" s="1"/>
  <c r="P139" i="7"/>
  <c r="O139" i="7"/>
  <c r="N137" i="7"/>
  <c r="N135" i="7" s="1"/>
  <c r="M137" i="7"/>
  <c r="M135" i="7" s="1"/>
  <c r="P135" i="7" s="1"/>
  <c r="L137" i="7"/>
  <c r="O137" i="7" s="1"/>
  <c r="P136" i="7"/>
  <c r="O136" i="7"/>
  <c r="P133" i="7"/>
  <c r="O133" i="7"/>
  <c r="N133" i="7"/>
  <c r="M133" i="7"/>
  <c r="L133" i="7"/>
  <c r="J130" i="7"/>
  <c r="N127" i="7"/>
  <c r="N125" i="7" s="1"/>
  <c r="M127" i="7"/>
  <c r="P127" i="7" s="1"/>
  <c r="L127" i="7"/>
  <c r="O127" i="7" s="1"/>
  <c r="P126" i="7"/>
  <c r="O126" i="7"/>
  <c r="N124" i="7"/>
  <c r="M124" i="7"/>
  <c r="P124" i="7" s="1"/>
  <c r="L124" i="7"/>
  <c r="O124" i="7" s="1"/>
  <c r="P123" i="7"/>
  <c r="O123" i="7"/>
  <c r="P120" i="7"/>
  <c r="N120" i="7"/>
  <c r="M120" i="7"/>
  <c r="L120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I87" i="7" s="1"/>
  <c r="K87" i="7" s="1"/>
  <c r="J98" i="7"/>
  <c r="I98" i="7"/>
  <c r="I86" i="7" s="1"/>
  <c r="K86" i="7" s="1"/>
  <c r="N96" i="7"/>
  <c r="N94" i="7" s="1"/>
  <c r="M96" i="7"/>
  <c r="P96" i="7" s="1"/>
  <c r="L96" i="7"/>
  <c r="O96" i="7" s="1"/>
  <c r="P95" i="7"/>
  <c r="O95" i="7"/>
  <c r="N93" i="7"/>
  <c r="M93" i="7"/>
  <c r="M91" i="7" s="1"/>
  <c r="L93" i="7"/>
  <c r="P92" i="7"/>
  <c r="O92" i="7"/>
  <c r="O89" i="7"/>
  <c r="N89" i="7"/>
  <c r="M89" i="7"/>
  <c r="L89" i="7"/>
  <c r="J87" i="7"/>
  <c r="J86" i="7"/>
  <c r="I84" i="7"/>
  <c r="K84" i="7" s="1"/>
  <c r="I83" i="7"/>
  <c r="K83" i="7" s="1"/>
  <c r="I82" i="7"/>
  <c r="K82" i="7" s="1"/>
  <c r="I81" i="7"/>
  <c r="K81" i="7" s="1"/>
  <c r="I80" i="7"/>
  <c r="I79" i="7"/>
  <c r="K79" i="7" s="1"/>
  <c r="I78" i="7"/>
  <c r="K78" i="7" s="1"/>
  <c r="J77" i="7"/>
  <c r="J65" i="7" s="1"/>
  <c r="J76" i="7"/>
  <c r="N74" i="7"/>
  <c r="N72" i="7" s="1"/>
  <c r="M74" i="7"/>
  <c r="M72" i="7" s="1"/>
  <c r="P72" i="7" s="1"/>
  <c r="L74" i="7"/>
  <c r="O74" i="7" s="1"/>
  <c r="P73" i="7"/>
  <c r="O73" i="7"/>
  <c r="N71" i="7"/>
  <c r="M71" i="7"/>
  <c r="L71" i="7"/>
  <c r="O71" i="7" s="1"/>
  <c r="P70" i="7"/>
  <c r="O70" i="7"/>
  <c r="P67" i="7"/>
  <c r="N67" i="7"/>
  <c r="M67" i="7"/>
  <c r="L67" i="7"/>
  <c r="J64" i="7"/>
  <c r="N61" i="7"/>
  <c r="N59" i="7" s="1"/>
  <c r="M61" i="7"/>
  <c r="P61" i="7" s="1"/>
  <c r="L61" i="7"/>
  <c r="L59" i="7" s="1"/>
  <c r="O59" i="7" s="1"/>
  <c r="P60" i="7"/>
  <c r="O60" i="7"/>
  <c r="N58" i="7"/>
  <c r="M58" i="7"/>
  <c r="M56" i="7" s="1"/>
  <c r="L58" i="7"/>
  <c r="L56" i="7" s="1"/>
  <c r="P57" i="7"/>
  <c r="O57" i="7"/>
  <c r="N54" i="7"/>
  <c r="M54" i="7"/>
  <c r="L54" i="7"/>
  <c r="O54" i="7" s="1"/>
  <c r="N49" i="7"/>
  <c r="M49" i="7"/>
  <c r="M47" i="7" s="1"/>
  <c r="P47" i="7" s="1"/>
  <c r="L49" i="7"/>
  <c r="O49" i="7" s="1"/>
  <c r="P48" i="7"/>
  <c r="O48" i="7"/>
  <c r="N46" i="7"/>
  <c r="N44" i="7" s="1"/>
  <c r="M46" i="7"/>
  <c r="L46" i="7"/>
  <c r="L44" i="7" s="1"/>
  <c r="P45" i="7"/>
  <c r="O45" i="7"/>
  <c r="N42" i="7"/>
  <c r="M42" i="7"/>
  <c r="P42" i="7" s="1"/>
  <c r="L42" i="7"/>
  <c r="P36" i="7"/>
  <c r="N36" i="7"/>
  <c r="M36" i="7"/>
  <c r="P35" i="7"/>
  <c r="O35" i="7"/>
  <c r="N35" i="7"/>
  <c r="N34" i="7" s="1"/>
  <c r="M35" i="7"/>
  <c r="L35" i="7"/>
  <c r="P34" i="7"/>
  <c r="M34" i="7"/>
  <c r="N33" i="7"/>
  <c r="P32" i="7"/>
  <c r="N32" i="7"/>
  <c r="N31" i="7" s="1"/>
  <c r="M32" i="7"/>
  <c r="M29" i="7" s="1"/>
  <c r="L32" i="7"/>
  <c r="O32" i="7" s="1"/>
  <c r="N30" i="7"/>
  <c r="N29" i="7"/>
  <c r="N28" i="7" s="1"/>
  <c r="N25" i="7"/>
  <c r="M25" i="7"/>
  <c r="P25" i="7" s="1"/>
  <c r="L25" i="7"/>
  <c r="O25" i="7" s="1"/>
  <c r="O22" i="7"/>
  <c r="N22" i="7"/>
  <c r="M22" i="7"/>
  <c r="M12" i="7" s="1"/>
  <c r="L22" i="7"/>
  <c r="N19" i="7"/>
  <c r="L19" i="7"/>
  <c r="O19" i="7" s="1"/>
  <c r="N15" i="7"/>
  <c r="N12" i="7"/>
  <c r="N9" i="7" s="1"/>
  <c r="L12" i="7"/>
  <c r="O12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P809" i="6"/>
  <c r="O809" i="6"/>
  <c r="P808" i="6"/>
  <c r="O808" i="6"/>
  <c r="N808" i="6"/>
  <c r="M808" i="6"/>
  <c r="L808" i="6"/>
  <c r="O807" i="6"/>
  <c r="N807" i="6"/>
  <c r="N805" i="6" s="1"/>
  <c r="M807" i="6"/>
  <c r="P807" i="6" s="1"/>
  <c r="L807" i="6"/>
  <c r="N806" i="6"/>
  <c r="M806" i="6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P796" i="6"/>
  <c r="O796" i="6"/>
  <c r="N796" i="6"/>
  <c r="M796" i="6"/>
  <c r="L796" i="6"/>
  <c r="P791" i="6"/>
  <c r="N791" i="6"/>
  <c r="N788" i="6" s="1"/>
  <c r="N786" i="6" s="1"/>
  <c r="L791" i="6"/>
  <c r="P790" i="6"/>
  <c r="O790" i="6"/>
  <c r="N789" i="6"/>
  <c r="M789" i="6"/>
  <c r="P789" i="6" s="1"/>
  <c r="M788" i="6"/>
  <c r="P788" i="6" s="1"/>
  <c r="N787" i="6"/>
  <c r="M787" i="6"/>
  <c r="L787" i="6"/>
  <c r="O787" i="6" s="1"/>
  <c r="P782" i="6"/>
  <c r="O782" i="6"/>
  <c r="P781" i="6"/>
  <c r="O781" i="6"/>
  <c r="P780" i="6"/>
  <c r="N780" i="6"/>
  <c r="M780" i="6"/>
  <c r="L780" i="6"/>
  <c r="O780" i="6" s="1"/>
  <c r="P775" i="6"/>
  <c r="O775" i="6"/>
  <c r="N775" i="6"/>
  <c r="N773" i="6" s="1"/>
  <c r="P774" i="6"/>
  <c r="O774" i="6"/>
  <c r="P773" i="6"/>
  <c r="O773" i="6"/>
  <c r="M773" i="6"/>
  <c r="L773" i="6"/>
  <c r="O772" i="6"/>
  <c r="N772" i="6"/>
  <c r="M772" i="6"/>
  <c r="P772" i="6" s="1"/>
  <c r="L772" i="6"/>
  <c r="N771" i="6"/>
  <c r="N770" i="6" s="1"/>
  <c r="M771" i="6"/>
  <c r="P771" i="6" s="1"/>
  <c r="L771" i="6"/>
  <c r="O771" i="6" s="1"/>
  <c r="L770" i="6"/>
  <c r="O770" i="6" s="1"/>
  <c r="K769" i="6"/>
  <c r="J769" i="6"/>
  <c r="P766" i="6"/>
  <c r="O766" i="6"/>
  <c r="P765" i="6"/>
  <c r="O765" i="6"/>
  <c r="P764" i="6"/>
  <c r="N764" i="6"/>
  <c r="M764" i="6"/>
  <c r="L764" i="6"/>
  <c r="O764" i="6" s="1"/>
  <c r="P759" i="6"/>
  <c r="O759" i="6"/>
  <c r="N759" i="6"/>
  <c r="N757" i="6" s="1"/>
  <c r="P758" i="6"/>
  <c r="O758" i="6"/>
  <c r="P757" i="6"/>
  <c r="O757" i="6"/>
  <c r="M757" i="6"/>
  <c r="L757" i="6"/>
  <c r="O756" i="6"/>
  <c r="N756" i="6"/>
  <c r="M756" i="6"/>
  <c r="P756" i="6" s="1"/>
  <c r="L756" i="6"/>
  <c r="N755" i="6"/>
  <c r="N754" i="6" s="1"/>
  <c r="M755" i="6"/>
  <c r="P755" i="6" s="1"/>
  <c r="L755" i="6"/>
  <c r="O755" i="6" s="1"/>
  <c r="L754" i="6"/>
  <c r="O754" i="6" s="1"/>
  <c r="K753" i="6"/>
  <c r="J753" i="6"/>
  <c r="P749" i="6"/>
  <c r="O749" i="6"/>
  <c r="P748" i="6"/>
  <c r="O748" i="6"/>
  <c r="P747" i="6"/>
  <c r="N747" i="6"/>
  <c r="M747" i="6"/>
  <c r="L747" i="6"/>
  <c r="O747" i="6" s="1"/>
  <c r="P742" i="6"/>
  <c r="O742" i="6"/>
  <c r="N742" i="6"/>
  <c r="N740" i="6" s="1"/>
  <c r="P741" i="6"/>
  <c r="O741" i="6"/>
  <c r="P740" i="6"/>
  <c r="O740" i="6"/>
  <c r="M740" i="6"/>
  <c r="L740" i="6"/>
  <c r="O739" i="6"/>
  <c r="N739" i="6"/>
  <c r="M739" i="6"/>
  <c r="P739" i="6" s="1"/>
  <c r="L739" i="6"/>
  <c r="N738" i="6"/>
  <c r="N737" i="6" s="1"/>
  <c r="M738" i="6"/>
  <c r="P738" i="6" s="1"/>
  <c r="L738" i="6"/>
  <c r="O738" i="6" s="1"/>
  <c r="M737" i="6"/>
  <c r="P737" i="6" s="1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P697" i="6"/>
  <c r="O697" i="6"/>
  <c r="P696" i="6"/>
  <c r="O696" i="6"/>
  <c r="N695" i="6"/>
  <c r="M695" i="6"/>
  <c r="P695" i="6" s="1"/>
  <c r="L695" i="6"/>
  <c r="O695" i="6" s="1"/>
  <c r="N694" i="6"/>
  <c r="N690" i="6" s="1"/>
  <c r="L690" i="6"/>
  <c r="P686" i="6"/>
  <c r="O686" i="6"/>
  <c r="N686" i="6"/>
  <c r="M686" i="6"/>
  <c r="L686" i="6"/>
  <c r="J679" i="6"/>
  <c r="J678" i="6" s="1"/>
  <c r="I678" i="6"/>
  <c r="K678" i="6" s="1"/>
  <c r="J675" i="6"/>
  <c r="I671" i="6"/>
  <c r="K671" i="6" s="1"/>
  <c r="I670" i="6"/>
  <c r="K670" i="6" s="1"/>
  <c r="J669" i="6"/>
  <c r="I669" i="6"/>
  <c r="P667" i="6"/>
  <c r="O667" i="6"/>
  <c r="P666" i="6"/>
  <c r="O666" i="6"/>
  <c r="P665" i="6"/>
  <c r="O665" i="6"/>
  <c r="N665" i="6"/>
  <c r="M665" i="6"/>
  <c r="L665" i="6"/>
  <c r="N664" i="6"/>
  <c r="N660" i="6"/>
  <c r="N658" i="6" s="1"/>
  <c r="L660" i="6"/>
  <c r="M660" i="6" s="1"/>
  <c r="P659" i="6"/>
  <c r="O659" i="6"/>
  <c r="N657" i="6"/>
  <c r="O656" i="6"/>
  <c r="N656" i="6"/>
  <c r="N655" i="6" s="1"/>
  <c r="M656" i="6"/>
  <c r="P656" i="6" s="1"/>
  <c r="L656" i="6"/>
  <c r="J654" i="6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N639" i="6"/>
  <c r="M639" i="6"/>
  <c r="P639" i="6" s="1"/>
  <c r="N638" i="6"/>
  <c r="N634" i="6" s="1"/>
  <c r="N631" i="6" s="1"/>
  <c r="L634" i="6"/>
  <c r="L631" i="6" s="1"/>
  <c r="O631" i="6" s="1"/>
  <c r="P633" i="6"/>
  <c r="O633" i="6"/>
  <c r="P630" i="6"/>
  <c r="N630" i="6"/>
  <c r="M630" i="6"/>
  <c r="L630" i="6"/>
  <c r="N629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594" i="6" s="1"/>
  <c r="J603" i="6"/>
  <c r="J596" i="6"/>
  <c r="J595" i="6"/>
  <c r="J593" i="6" s="1"/>
  <c r="J592" i="6" s="1"/>
  <c r="I594" i="6"/>
  <c r="K594" i="6" s="1"/>
  <c r="I593" i="6"/>
  <c r="I592" i="6" s="1"/>
  <c r="K592" i="6" s="1"/>
  <c r="J583" i="6"/>
  <c r="J582" i="6"/>
  <c r="J577" i="6"/>
  <c r="I577" i="6"/>
  <c r="J576" i="6"/>
  <c r="I576" i="6"/>
  <c r="J569" i="6"/>
  <c r="I569" i="6"/>
  <c r="J568" i="6"/>
  <c r="I568" i="6"/>
  <c r="K568" i="6" s="1"/>
  <c r="J561" i="6"/>
  <c r="I561" i="6"/>
  <c r="J560" i="6"/>
  <c r="I560" i="6"/>
  <c r="K560" i="6" s="1"/>
  <c r="J559" i="6"/>
  <c r="P557" i="6"/>
  <c r="L557" i="6"/>
  <c r="O557" i="6" s="1"/>
  <c r="P556" i="6"/>
  <c r="O556" i="6"/>
  <c r="P555" i="6"/>
  <c r="N555" i="6"/>
  <c r="M555" i="6"/>
  <c r="L555" i="6"/>
  <c r="O555" i="6" s="1"/>
  <c r="N553" i="6"/>
  <c r="N552" i="6"/>
  <c r="L549" i="6"/>
  <c r="P548" i="6"/>
  <c r="O548" i="6"/>
  <c r="P545" i="6"/>
  <c r="N545" i="6"/>
  <c r="M545" i="6"/>
  <c r="L545" i="6"/>
  <c r="O545" i="6" s="1"/>
  <c r="I542" i="6"/>
  <c r="K542" i="6" s="1"/>
  <c r="I541" i="6"/>
  <c r="K541" i="6" s="1"/>
  <c r="I540" i="6"/>
  <c r="K540" i="6" s="1"/>
  <c r="I539" i="6"/>
  <c r="K539" i="6" s="1"/>
  <c r="I538" i="6"/>
  <c r="I537" i="6"/>
  <c r="I522" i="6" s="1"/>
  <c r="K522" i="6" s="1"/>
  <c r="P535" i="6"/>
  <c r="L535" i="6"/>
  <c r="L533" i="6" s="1"/>
  <c r="O533" i="6" s="1"/>
  <c r="P534" i="6"/>
  <c r="O534" i="6"/>
  <c r="P533" i="6"/>
  <c r="N533" i="6"/>
  <c r="M533" i="6"/>
  <c r="P528" i="6"/>
  <c r="N528" i="6"/>
  <c r="L528" i="6"/>
  <c r="L526" i="6" s="1"/>
  <c r="O526" i="6" s="1"/>
  <c r="P527" i="6"/>
  <c r="O527" i="6"/>
  <c r="P526" i="6"/>
  <c r="N526" i="6"/>
  <c r="M526" i="6"/>
  <c r="P525" i="6"/>
  <c r="N525" i="6"/>
  <c r="M525" i="6"/>
  <c r="O524" i="6"/>
  <c r="N524" i="6"/>
  <c r="M524" i="6"/>
  <c r="L524" i="6"/>
  <c r="N523" i="6"/>
  <c r="K517" i="6"/>
  <c r="J517" i="6"/>
  <c r="K516" i="6"/>
  <c r="P514" i="6"/>
  <c r="O514" i="6"/>
  <c r="P513" i="6"/>
  <c r="O513" i="6"/>
  <c r="P512" i="6"/>
  <c r="O512" i="6"/>
  <c r="N512" i="6"/>
  <c r="M512" i="6"/>
  <c r="L512" i="6"/>
  <c r="P507" i="6"/>
  <c r="O507" i="6"/>
  <c r="N507" i="6"/>
  <c r="N505" i="6" s="1"/>
  <c r="P506" i="6"/>
  <c r="O506" i="6"/>
  <c r="O505" i="6"/>
  <c r="M505" i="6"/>
  <c r="P505" i="6" s="1"/>
  <c r="L505" i="6"/>
  <c r="N504" i="6"/>
  <c r="M504" i="6"/>
  <c r="P504" i="6" s="1"/>
  <c r="L504" i="6"/>
  <c r="O504" i="6" s="1"/>
  <c r="N503" i="6"/>
  <c r="N502" i="6" s="1"/>
  <c r="M503" i="6"/>
  <c r="P503" i="6" s="1"/>
  <c r="L503" i="6"/>
  <c r="O503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L477" i="6" s="1"/>
  <c r="O477" i="6" s="1"/>
  <c r="P478" i="6"/>
  <c r="O478" i="6"/>
  <c r="P477" i="6"/>
  <c r="N477" i="6"/>
  <c r="M477" i="6"/>
  <c r="N476" i="6"/>
  <c r="N473" i="6"/>
  <c r="L472" i="6"/>
  <c r="M472" i="6" s="1"/>
  <c r="P471" i="6"/>
  <c r="O471" i="6"/>
  <c r="P468" i="6"/>
  <c r="N468" i="6"/>
  <c r="M468" i="6"/>
  <c r="L468" i="6"/>
  <c r="O468" i="6" s="1"/>
  <c r="J466" i="6"/>
  <c r="I466" i="6"/>
  <c r="J465" i="6"/>
  <c r="I465" i="6"/>
  <c r="I464" i="6"/>
  <c r="I463" i="6"/>
  <c r="I462" i="6"/>
  <c r="K462" i="6" s="1"/>
  <c r="I460" i="6"/>
  <c r="I442" i="6" s="1"/>
  <c r="K442" i="6" s="1"/>
  <c r="K458" i="6"/>
  <c r="P456" i="6"/>
  <c r="L456" i="6"/>
  <c r="O456" i="6" s="1"/>
  <c r="P455" i="6"/>
  <c r="O455" i="6"/>
  <c r="N454" i="6"/>
  <c r="M454" i="6"/>
  <c r="P454" i="6" s="1"/>
  <c r="P449" i="6"/>
  <c r="N449" i="6"/>
  <c r="N446" i="6" s="1"/>
  <c r="L449" i="6"/>
  <c r="P448" i="6"/>
  <c r="O448" i="6"/>
  <c r="M447" i="6"/>
  <c r="P447" i="6" s="1"/>
  <c r="P446" i="6"/>
  <c r="M446" i="6"/>
  <c r="M444" i="6" s="1"/>
  <c r="P445" i="6"/>
  <c r="O445" i="6"/>
  <c r="N445" i="6"/>
  <c r="M445" i="6"/>
  <c r="L445" i="6"/>
  <c r="P444" i="6"/>
  <c r="N444" i="6"/>
  <c r="J443" i="6"/>
  <c r="J442" i="6"/>
  <c r="I441" i="6"/>
  <c r="K441" i="6" s="1"/>
  <c r="I440" i="6"/>
  <c r="K440" i="6" s="1"/>
  <c r="I439" i="6"/>
  <c r="K439" i="6" s="1"/>
  <c r="I438" i="6"/>
  <c r="I437" i="6"/>
  <c r="I435" i="6"/>
  <c r="I433" i="6" s="1"/>
  <c r="I417" i="6" s="1"/>
  <c r="J434" i="6"/>
  <c r="J418" i="6" s="1"/>
  <c r="P431" i="6"/>
  <c r="L431" i="6"/>
  <c r="O431" i="6" s="1"/>
  <c r="P430" i="6"/>
  <c r="O430" i="6"/>
  <c r="N429" i="6"/>
  <c r="M429" i="6"/>
  <c r="P429" i="6" s="1"/>
  <c r="N425" i="6"/>
  <c r="N424" i="6"/>
  <c r="N422" i="6" s="1"/>
  <c r="L424" i="6"/>
  <c r="P423" i="6"/>
  <c r="O423" i="6"/>
  <c r="N421" i="6"/>
  <c r="N420" i="6"/>
  <c r="N419" i="6" s="1"/>
  <c r="M420" i="6"/>
  <c r="P420" i="6" s="1"/>
  <c r="L420" i="6"/>
  <c r="O420" i="6" s="1"/>
  <c r="K413" i="6"/>
  <c r="K412" i="6"/>
  <c r="N410" i="6"/>
  <c r="N408" i="6" s="1"/>
  <c r="M410" i="6"/>
  <c r="M408" i="6" s="1"/>
  <c r="P408" i="6" s="1"/>
  <c r="L410" i="6"/>
  <c r="P409" i="6"/>
  <c r="O409" i="6"/>
  <c r="N407" i="6"/>
  <c r="M407" i="6"/>
  <c r="P407" i="6" s="1"/>
  <c r="L407" i="6"/>
  <c r="P406" i="6"/>
  <c r="O406" i="6"/>
  <c r="N403" i="6"/>
  <c r="M403" i="6"/>
  <c r="P403" i="6" s="1"/>
  <c r="L403" i="6"/>
  <c r="K401" i="6"/>
  <c r="J401" i="6"/>
  <c r="I401" i="6"/>
  <c r="K400" i="6"/>
  <c r="K399" i="6"/>
  <c r="O397" i="6"/>
  <c r="N397" i="6"/>
  <c r="N395" i="6" s="1"/>
  <c r="M397" i="6"/>
  <c r="P397" i="6" s="1"/>
  <c r="L397" i="6"/>
  <c r="L395" i="6" s="1"/>
  <c r="O395" i="6" s="1"/>
  <c r="P396" i="6"/>
  <c r="O396" i="6"/>
  <c r="N394" i="6"/>
  <c r="M394" i="6"/>
  <c r="L394" i="6"/>
  <c r="L392" i="6" s="1"/>
  <c r="O392" i="6" s="1"/>
  <c r="P393" i="6"/>
  <c r="O393" i="6"/>
  <c r="O390" i="6"/>
  <c r="N390" i="6"/>
  <c r="M390" i="6"/>
  <c r="P390" i="6" s="1"/>
  <c r="L390" i="6"/>
  <c r="J388" i="6"/>
  <c r="I388" i="6"/>
  <c r="K388" i="6" s="1"/>
  <c r="J385" i="6"/>
  <c r="I385" i="6"/>
  <c r="K385" i="6" s="1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L353" i="6"/>
  <c r="L351" i="6" s="1"/>
  <c r="P352" i="6"/>
  <c r="O352" i="6"/>
  <c r="N350" i="6"/>
  <c r="M350" i="6"/>
  <c r="M348" i="6" s="1"/>
  <c r="L350" i="6"/>
  <c r="L348" i="6" s="1"/>
  <c r="P349" i="6"/>
  <c r="O349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L334" i="6" s="1"/>
  <c r="O334" i="6" s="1"/>
  <c r="P335" i="6"/>
  <c r="O335" i="6"/>
  <c r="N333" i="6"/>
  <c r="N331" i="6" s="1"/>
  <c r="M333" i="6"/>
  <c r="M331" i="6" s="1"/>
  <c r="L333" i="6"/>
  <c r="L331" i="6" s="1"/>
  <c r="P332" i="6"/>
  <c r="O332" i="6"/>
  <c r="O329" i="6"/>
  <c r="N329" i="6"/>
  <c r="M329" i="6"/>
  <c r="P329" i="6" s="1"/>
  <c r="L329" i="6"/>
  <c r="I327" i="6"/>
  <c r="I325" i="6"/>
  <c r="K325" i="6" s="1"/>
  <c r="N323" i="6"/>
  <c r="N321" i="6" s="1"/>
  <c r="M323" i="6"/>
  <c r="P323" i="6" s="1"/>
  <c r="L323" i="6"/>
  <c r="P322" i="6"/>
  <c r="O322" i="6"/>
  <c r="N320" i="6"/>
  <c r="N318" i="6" s="1"/>
  <c r="M320" i="6"/>
  <c r="L320" i="6"/>
  <c r="O320" i="6" s="1"/>
  <c r="P319" i="6"/>
  <c r="O319" i="6"/>
  <c r="O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I297" i="6" s="1"/>
  <c r="K297" i="6" s="1"/>
  <c r="N306" i="6"/>
  <c r="M306" i="6"/>
  <c r="L306" i="6"/>
  <c r="P305" i="6"/>
  <c r="O305" i="6"/>
  <c r="N303" i="6"/>
  <c r="N301" i="6" s="1"/>
  <c r="M303" i="6"/>
  <c r="M301" i="6" s="1"/>
  <c r="P301" i="6" s="1"/>
  <c r="L303" i="6"/>
  <c r="P302" i="6"/>
  <c r="O302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87" i="6"/>
  <c r="N285" i="6"/>
  <c r="N283" i="6" s="1"/>
  <c r="M285" i="6"/>
  <c r="L285" i="6"/>
  <c r="O285" i="6" s="1"/>
  <c r="P284" i="6"/>
  <c r="O284" i="6"/>
  <c r="N282" i="6"/>
  <c r="N280" i="6" s="1"/>
  <c r="M282" i="6"/>
  <c r="L282" i="6"/>
  <c r="P281" i="6"/>
  <c r="O281" i="6"/>
  <c r="O278" i="6"/>
  <c r="N278" i="6"/>
  <c r="M278" i="6"/>
  <c r="P278" i="6" s="1"/>
  <c r="L278" i="6"/>
  <c r="J276" i="6"/>
  <c r="I271" i="6"/>
  <c r="K271" i="6" s="1"/>
  <c r="N269" i="6"/>
  <c r="N267" i="6" s="1"/>
  <c r="M269" i="6"/>
  <c r="L269" i="6"/>
  <c r="O269" i="6" s="1"/>
  <c r="P268" i="6"/>
  <c r="O268" i="6"/>
  <c r="N266" i="6"/>
  <c r="M266" i="6"/>
  <c r="L266" i="6"/>
  <c r="L264" i="6" s="1"/>
  <c r="P265" i="6"/>
  <c r="O265" i="6"/>
  <c r="P262" i="6"/>
  <c r="O262" i="6"/>
  <c r="N262" i="6"/>
  <c r="M262" i="6"/>
  <c r="L262" i="6"/>
  <c r="J260" i="6"/>
  <c r="K258" i="6"/>
  <c r="K257" i="6"/>
  <c r="I255" i="6"/>
  <c r="K255" i="6" s="1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J237" i="6"/>
  <c r="K236" i="6"/>
  <c r="J236" i="6"/>
  <c r="I236" i="6"/>
  <c r="J235" i="6"/>
  <c r="I235" i="6"/>
  <c r="K235" i="6" s="1"/>
  <c r="J233" i="6"/>
  <c r="N231" i="6"/>
  <c r="N230" i="6"/>
  <c r="N229" i="6"/>
  <c r="N228" i="6"/>
  <c r="N227" i="6"/>
  <c r="J226" i="6"/>
  <c r="J180" i="6" s="1"/>
  <c r="I225" i="6"/>
  <c r="K225" i="6" s="1"/>
  <c r="I224" i="6"/>
  <c r="I216" i="6" s="1"/>
  <c r="I223" i="6"/>
  <c r="K223" i="6" s="1"/>
  <c r="L220" i="6"/>
  <c r="L219" i="6"/>
  <c r="N218" i="6"/>
  <c r="N217" i="6" s="1"/>
  <c r="L218" i="6"/>
  <c r="P217" i="6"/>
  <c r="J216" i="6"/>
  <c r="I215" i="6"/>
  <c r="K215" i="6" s="1"/>
  <c r="I214" i="6"/>
  <c r="K214" i="6" s="1"/>
  <c r="L212" i="6"/>
  <c r="L211" i="6"/>
  <c r="L210" i="6"/>
  <c r="P209" i="6"/>
  <c r="N209" i="6"/>
  <c r="J208" i="6"/>
  <c r="I204" i="6"/>
  <c r="K204" i="6" s="1"/>
  <c r="L202" i="6"/>
  <c r="L201" i="6"/>
  <c r="L200" i="6"/>
  <c r="L199" i="6"/>
  <c r="P198" i="6"/>
  <c r="N198" i="6"/>
  <c r="J197" i="6"/>
  <c r="J194" i="6"/>
  <c r="I193" i="6"/>
  <c r="K193" i="6" s="1"/>
  <c r="P191" i="6"/>
  <c r="N191" i="6"/>
  <c r="L191" i="6"/>
  <c r="J190" i="6"/>
  <c r="N189" i="6"/>
  <c r="N187" i="6" s="1"/>
  <c r="M189" i="6"/>
  <c r="P189" i="6" s="1"/>
  <c r="L189" i="6"/>
  <c r="P188" i="6"/>
  <c r="O188" i="6"/>
  <c r="N186" i="6"/>
  <c r="M186" i="6"/>
  <c r="L186" i="6"/>
  <c r="L184" i="6" s="1"/>
  <c r="P185" i="6"/>
  <c r="O185" i="6"/>
  <c r="N182" i="6"/>
  <c r="M182" i="6"/>
  <c r="P182" i="6" s="1"/>
  <c r="L182" i="6"/>
  <c r="O182" i="6" s="1"/>
  <c r="J177" i="6"/>
  <c r="I176" i="6"/>
  <c r="I174" i="6" s="1"/>
  <c r="J174" i="6"/>
  <c r="N173" i="6"/>
  <c r="N171" i="6" s="1"/>
  <c r="M173" i="6"/>
  <c r="P173" i="6" s="1"/>
  <c r="L173" i="6"/>
  <c r="O173" i="6" s="1"/>
  <c r="P172" i="6"/>
  <c r="O172" i="6"/>
  <c r="N170" i="6"/>
  <c r="N168" i="6" s="1"/>
  <c r="M170" i="6"/>
  <c r="M168" i="6" s="1"/>
  <c r="L170" i="6"/>
  <c r="L168" i="6" s="1"/>
  <c r="P169" i="6"/>
  <c r="O169" i="6"/>
  <c r="P166" i="6"/>
  <c r="N166" i="6"/>
  <c r="M166" i="6"/>
  <c r="L166" i="6"/>
  <c r="O166" i="6" s="1"/>
  <c r="J164" i="6"/>
  <c r="I159" i="6"/>
  <c r="K159" i="6" s="1"/>
  <c r="N157" i="6"/>
  <c r="N155" i="6" s="1"/>
  <c r="M157" i="6"/>
  <c r="L157" i="6"/>
  <c r="O157" i="6" s="1"/>
  <c r="P156" i="6"/>
  <c r="O156" i="6"/>
  <c r="N154" i="6"/>
  <c r="M154" i="6"/>
  <c r="M152" i="6" s="1"/>
  <c r="P152" i="6" s="1"/>
  <c r="L154" i="6"/>
  <c r="O154" i="6" s="1"/>
  <c r="P153" i="6"/>
  <c r="O153" i="6"/>
  <c r="P150" i="6"/>
  <c r="N150" i="6"/>
  <c r="M150" i="6"/>
  <c r="L150" i="6"/>
  <c r="J148" i="6"/>
  <c r="I146" i="6"/>
  <c r="I130" i="6" s="1"/>
  <c r="K130" i="6" s="1"/>
  <c r="I145" i="6"/>
  <c r="K145" i="6" s="1"/>
  <c r="I144" i="6"/>
  <c r="K144" i="6" s="1"/>
  <c r="N140" i="6"/>
  <c r="N138" i="6" s="1"/>
  <c r="M140" i="6"/>
  <c r="P140" i="6" s="1"/>
  <c r="L140" i="6"/>
  <c r="O140" i="6" s="1"/>
  <c r="P139" i="6"/>
  <c r="O139" i="6"/>
  <c r="N137" i="6"/>
  <c r="N135" i="6" s="1"/>
  <c r="M137" i="6"/>
  <c r="P137" i="6" s="1"/>
  <c r="L137" i="6"/>
  <c r="O137" i="6" s="1"/>
  <c r="P136" i="6"/>
  <c r="O136" i="6"/>
  <c r="P133" i="6"/>
  <c r="N133" i="6"/>
  <c r="M133" i="6"/>
  <c r="L133" i="6"/>
  <c r="O133" i="6" s="1"/>
  <c r="J130" i="6"/>
  <c r="N127" i="6"/>
  <c r="N125" i="6" s="1"/>
  <c r="M127" i="6"/>
  <c r="M125" i="6" s="1"/>
  <c r="P125" i="6" s="1"/>
  <c r="L127" i="6"/>
  <c r="O127" i="6" s="1"/>
  <c r="P126" i="6"/>
  <c r="O126" i="6"/>
  <c r="N124" i="6"/>
  <c r="M124" i="6"/>
  <c r="M122" i="6" s="1"/>
  <c r="P122" i="6" s="1"/>
  <c r="L124" i="6"/>
  <c r="L122" i="6" s="1"/>
  <c r="O122" i="6" s="1"/>
  <c r="P123" i="6"/>
  <c r="O123" i="6"/>
  <c r="P120" i="6"/>
  <c r="N120" i="6"/>
  <c r="M120" i="6"/>
  <c r="L120" i="6"/>
  <c r="O120" i="6" s="1"/>
  <c r="I116" i="6"/>
  <c r="K116" i="6" s="1"/>
  <c r="I115" i="6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J99" i="6"/>
  <c r="J87" i="6" s="1"/>
  <c r="I99" i="6"/>
  <c r="J98" i="6"/>
  <c r="I98" i="6"/>
  <c r="K98" i="6" s="1"/>
  <c r="N96" i="6"/>
  <c r="N94" i="6" s="1"/>
  <c r="M96" i="6"/>
  <c r="L96" i="6"/>
  <c r="L94" i="6" s="1"/>
  <c r="O94" i="6" s="1"/>
  <c r="P95" i="6"/>
  <c r="O95" i="6"/>
  <c r="N93" i="6"/>
  <c r="N91" i="6" s="1"/>
  <c r="M93" i="6"/>
  <c r="M91" i="6" s="1"/>
  <c r="L93" i="6"/>
  <c r="L91" i="6" s="1"/>
  <c r="P92" i="6"/>
  <c r="O92" i="6"/>
  <c r="P89" i="6"/>
  <c r="N89" i="6"/>
  <c r="M89" i="6"/>
  <c r="L89" i="6"/>
  <c r="J86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K78" i="6" s="1"/>
  <c r="J77" i="6"/>
  <c r="J76" i="6"/>
  <c r="N74" i="6"/>
  <c r="N72" i="6" s="1"/>
  <c r="M74" i="6"/>
  <c r="P74" i="6" s="1"/>
  <c r="L74" i="6"/>
  <c r="O74" i="6" s="1"/>
  <c r="P73" i="6"/>
  <c r="O73" i="6"/>
  <c r="N71" i="6"/>
  <c r="M71" i="6"/>
  <c r="M69" i="6" s="1"/>
  <c r="P69" i="6" s="1"/>
  <c r="L71" i="6"/>
  <c r="O71" i="6" s="1"/>
  <c r="P70" i="6"/>
  <c r="O70" i="6"/>
  <c r="O67" i="6"/>
  <c r="N67" i="6"/>
  <c r="M67" i="6"/>
  <c r="P67" i="6" s="1"/>
  <c r="L67" i="6"/>
  <c r="J65" i="6"/>
  <c r="J64" i="6"/>
  <c r="N61" i="6"/>
  <c r="N59" i="6" s="1"/>
  <c r="M61" i="6"/>
  <c r="P61" i="6" s="1"/>
  <c r="L61" i="6"/>
  <c r="L59" i="6" s="1"/>
  <c r="O59" i="6" s="1"/>
  <c r="P60" i="6"/>
  <c r="O60" i="6"/>
  <c r="N58" i="6"/>
  <c r="N56" i="6" s="1"/>
  <c r="M58" i="6"/>
  <c r="M56" i="6" s="1"/>
  <c r="L58" i="6"/>
  <c r="L56" i="6" s="1"/>
  <c r="P57" i="6"/>
  <c r="O57" i="6"/>
  <c r="P54" i="6"/>
  <c r="N54" i="6"/>
  <c r="M54" i="6"/>
  <c r="L54" i="6"/>
  <c r="N49" i="6"/>
  <c r="N47" i="6" s="1"/>
  <c r="M49" i="6"/>
  <c r="P49" i="6" s="1"/>
  <c r="L49" i="6"/>
  <c r="P48" i="6"/>
  <c r="O48" i="6"/>
  <c r="N46" i="6"/>
  <c r="N44" i="6" s="1"/>
  <c r="M46" i="6"/>
  <c r="L46" i="6"/>
  <c r="L44" i="6" s="1"/>
  <c r="P45" i="6"/>
  <c r="O45" i="6"/>
  <c r="O42" i="6"/>
  <c r="N42" i="6"/>
  <c r="M42" i="6"/>
  <c r="P42" i="6" s="1"/>
  <c r="L42" i="6"/>
  <c r="P36" i="6"/>
  <c r="N36" i="6"/>
  <c r="M36" i="6"/>
  <c r="P35" i="6"/>
  <c r="O35" i="6"/>
  <c r="N35" i="6"/>
  <c r="M35" i="6"/>
  <c r="M34" i="6" s="1"/>
  <c r="L35" i="6"/>
  <c r="P34" i="6"/>
  <c r="N34" i="6"/>
  <c r="P32" i="6"/>
  <c r="N32" i="6"/>
  <c r="N12" i="6" s="1"/>
  <c r="M32" i="6"/>
  <c r="L32" i="6"/>
  <c r="P29" i="6"/>
  <c r="M29" i="6"/>
  <c r="N25" i="6"/>
  <c r="M25" i="6"/>
  <c r="M15" i="6" s="1"/>
  <c r="L25" i="6"/>
  <c r="P22" i="6"/>
  <c r="O22" i="6"/>
  <c r="N22" i="6"/>
  <c r="M22" i="6"/>
  <c r="L22" i="6"/>
  <c r="N19" i="6"/>
  <c r="M12" i="6"/>
  <c r="L12" i="6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P809" i="5"/>
  <c r="O809" i="5"/>
  <c r="P808" i="5"/>
  <c r="O808" i="5"/>
  <c r="N808" i="5"/>
  <c r="M808" i="5"/>
  <c r="L808" i="5"/>
  <c r="O807" i="5"/>
  <c r="N807" i="5"/>
  <c r="M807" i="5"/>
  <c r="P807" i="5" s="1"/>
  <c r="L807" i="5"/>
  <c r="N806" i="5"/>
  <c r="N805" i="5" s="1"/>
  <c r="M806" i="5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P796" i="5"/>
  <c r="O796" i="5"/>
  <c r="N796" i="5"/>
  <c r="M796" i="5"/>
  <c r="L796" i="5"/>
  <c r="P791" i="5"/>
  <c r="N791" i="5"/>
  <c r="L791" i="5"/>
  <c r="L789" i="5" s="1"/>
  <c r="O789" i="5" s="1"/>
  <c r="P790" i="5"/>
  <c r="O790" i="5"/>
  <c r="P789" i="5"/>
  <c r="N789" i="5"/>
  <c r="M789" i="5"/>
  <c r="N788" i="5"/>
  <c r="M788" i="5"/>
  <c r="P788" i="5" s="1"/>
  <c r="N787" i="5"/>
  <c r="M787" i="5"/>
  <c r="L787" i="5"/>
  <c r="O787" i="5" s="1"/>
  <c r="P782" i="5"/>
  <c r="O782" i="5"/>
  <c r="P781" i="5"/>
  <c r="O781" i="5"/>
  <c r="N780" i="5"/>
  <c r="M780" i="5"/>
  <c r="P780" i="5" s="1"/>
  <c r="L780" i="5"/>
  <c r="O780" i="5" s="1"/>
  <c r="P775" i="5"/>
  <c r="O775" i="5"/>
  <c r="N775" i="5"/>
  <c r="P774" i="5"/>
  <c r="O774" i="5"/>
  <c r="P773" i="5"/>
  <c r="O773" i="5"/>
  <c r="N773" i="5"/>
  <c r="M773" i="5"/>
  <c r="L773" i="5"/>
  <c r="P772" i="5"/>
  <c r="O772" i="5"/>
  <c r="N772" i="5"/>
  <c r="M772" i="5"/>
  <c r="L772" i="5"/>
  <c r="O771" i="5"/>
  <c r="N771" i="5"/>
  <c r="N770" i="5" s="1"/>
  <c r="M771" i="5"/>
  <c r="L771" i="5"/>
  <c r="L770" i="5"/>
  <c r="O770" i="5" s="1"/>
  <c r="K769" i="5"/>
  <c r="J769" i="5"/>
  <c r="P766" i="5"/>
  <c r="O766" i="5"/>
  <c r="P765" i="5"/>
  <c r="O765" i="5"/>
  <c r="N764" i="5"/>
  <c r="M764" i="5"/>
  <c r="P764" i="5" s="1"/>
  <c r="L764" i="5"/>
  <c r="O764" i="5" s="1"/>
  <c r="P759" i="5"/>
  <c r="O759" i="5"/>
  <c r="N759" i="5"/>
  <c r="P758" i="5"/>
  <c r="O758" i="5"/>
  <c r="P757" i="5"/>
  <c r="O757" i="5"/>
  <c r="N757" i="5"/>
  <c r="M757" i="5"/>
  <c r="L757" i="5"/>
  <c r="P756" i="5"/>
  <c r="O756" i="5"/>
  <c r="N756" i="5"/>
  <c r="M756" i="5"/>
  <c r="L756" i="5"/>
  <c r="O755" i="5"/>
  <c r="N755" i="5"/>
  <c r="N754" i="5" s="1"/>
  <c r="M755" i="5"/>
  <c r="L755" i="5"/>
  <c r="L754" i="5"/>
  <c r="O754" i="5" s="1"/>
  <c r="K753" i="5"/>
  <c r="J753" i="5"/>
  <c r="P749" i="5"/>
  <c r="O749" i="5"/>
  <c r="P748" i="5"/>
  <c r="O748" i="5"/>
  <c r="N747" i="5"/>
  <c r="M747" i="5"/>
  <c r="P747" i="5" s="1"/>
  <c r="L747" i="5"/>
  <c r="O747" i="5" s="1"/>
  <c r="P742" i="5"/>
  <c r="O742" i="5"/>
  <c r="N742" i="5"/>
  <c r="P741" i="5"/>
  <c r="O741" i="5"/>
  <c r="P740" i="5"/>
  <c r="O740" i="5"/>
  <c r="N740" i="5"/>
  <c r="M740" i="5"/>
  <c r="L740" i="5"/>
  <c r="P739" i="5"/>
  <c r="O739" i="5"/>
  <c r="N739" i="5"/>
  <c r="M739" i="5"/>
  <c r="L739" i="5"/>
  <c r="O738" i="5"/>
  <c r="N738" i="5"/>
  <c r="N737" i="5" s="1"/>
  <c r="M738" i="5"/>
  <c r="L738" i="5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N695" i="5"/>
  <c r="M695" i="5"/>
  <c r="P695" i="5" s="1"/>
  <c r="L695" i="5"/>
  <c r="O695" i="5" s="1"/>
  <c r="P690" i="5"/>
  <c r="N690" i="5"/>
  <c r="L690" i="5"/>
  <c r="O690" i="5" s="1"/>
  <c r="P688" i="5"/>
  <c r="N688" i="5"/>
  <c r="M688" i="5"/>
  <c r="N687" i="5"/>
  <c r="M687" i="5"/>
  <c r="P687" i="5" s="1"/>
  <c r="L687" i="5"/>
  <c r="O687" i="5" s="1"/>
  <c r="N686" i="5"/>
  <c r="N685" i="5" s="1"/>
  <c r="M686" i="5"/>
  <c r="L686" i="5"/>
  <c r="O686" i="5" s="1"/>
  <c r="J679" i="5"/>
  <c r="J678" i="5" s="1"/>
  <c r="I678" i="5"/>
  <c r="K678" i="5" s="1"/>
  <c r="J675" i="5"/>
  <c r="J669" i="5" s="1"/>
  <c r="J654" i="5" s="1"/>
  <c r="I671" i="5"/>
  <c r="K671" i="5" s="1"/>
  <c r="I670" i="5"/>
  <c r="K670" i="5" s="1"/>
  <c r="I669" i="5"/>
  <c r="K673" i="5" s="1"/>
  <c r="P667" i="5"/>
  <c r="O667" i="5"/>
  <c r="P666" i="5"/>
  <c r="O666" i="5"/>
  <c r="N665" i="5"/>
  <c r="M665" i="5"/>
  <c r="P665" i="5" s="1"/>
  <c r="L665" i="5"/>
  <c r="O665" i="5" s="1"/>
  <c r="P660" i="5"/>
  <c r="N660" i="5"/>
  <c r="N657" i="5" s="1"/>
  <c r="N655" i="5" s="1"/>
  <c r="L660" i="5"/>
  <c r="O660" i="5" s="1"/>
  <c r="P659" i="5"/>
  <c r="O659" i="5"/>
  <c r="N658" i="5"/>
  <c r="M658" i="5"/>
  <c r="P658" i="5" s="1"/>
  <c r="P657" i="5"/>
  <c r="M657" i="5"/>
  <c r="P656" i="5"/>
  <c r="O656" i="5"/>
  <c r="N656" i="5"/>
  <c r="M656" i="5"/>
  <c r="L656" i="5"/>
  <c r="P655" i="5"/>
  <c r="M655" i="5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L639" i="5" s="1"/>
  <c r="O639" i="5" s="1"/>
  <c r="P640" i="5"/>
  <c r="O640" i="5"/>
  <c r="P639" i="5"/>
  <c r="N639" i="5"/>
  <c r="M639" i="5"/>
  <c r="N634" i="5"/>
  <c r="L634" i="5"/>
  <c r="P633" i="5"/>
  <c r="O633" i="5"/>
  <c r="N632" i="5"/>
  <c r="N631" i="5"/>
  <c r="N630" i="5"/>
  <c r="M630" i="5"/>
  <c r="L630" i="5"/>
  <c r="O630" i="5" s="1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I594" i="5"/>
  <c r="J593" i="5"/>
  <c r="J592" i="5" s="1"/>
  <c r="I593" i="5"/>
  <c r="J583" i="5"/>
  <c r="J577" i="5" s="1"/>
  <c r="J582" i="5"/>
  <c r="J576" i="5" s="1"/>
  <c r="J559" i="5" s="1"/>
  <c r="J543" i="5" s="1"/>
  <c r="I577" i="5"/>
  <c r="I576" i="5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L555" i="5" s="1"/>
  <c r="O555" i="5" s="1"/>
  <c r="P556" i="5"/>
  <c r="O556" i="5"/>
  <c r="N555" i="5"/>
  <c r="M555" i="5"/>
  <c r="N553" i="5"/>
  <c r="N552" i="5"/>
  <c r="N551" i="5"/>
  <c r="N550" i="5"/>
  <c r="N549" i="5" s="1"/>
  <c r="L549" i="5"/>
  <c r="P548" i="5"/>
  <c r="O548" i="5"/>
  <c r="O545" i="5"/>
  <c r="N545" i="5"/>
  <c r="L545" i="5"/>
  <c r="I542" i="5"/>
  <c r="K542" i="5" s="1"/>
  <c r="I541" i="5"/>
  <c r="K541" i="5" s="1"/>
  <c r="I540" i="5"/>
  <c r="K540" i="5" s="1"/>
  <c r="I539" i="5"/>
  <c r="I538" i="5"/>
  <c r="K538" i="5" s="1"/>
  <c r="I537" i="5"/>
  <c r="P535" i="5"/>
  <c r="L535" i="5"/>
  <c r="O535" i="5" s="1"/>
  <c r="P534" i="5"/>
  <c r="O534" i="5"/>
  <c r="P533" i="5"/>
  <c r="N533" i="5"/>
  <c r="M533" i="5"/>
  <c r="P528" i="5"/>
  <c r="N528" i="5"/>
  <c r="L528" i="5"/>
  <c r="O528" i="5" s="1"/>
  <c r="P527" i="5"/>
  <c r="O527" i="5"/>
  <c r="P526" i="5"/>
  <c r="N526" i="5"/>
  <c r="M526" i="5"/>
  <c r="L526" i="5"/>
  <c r="O526" i="5" s="1"/>
  <c r="N525" i="5"/>
  <c r="M525" i="5"/>
  <c r="P525" i="5" s="1"/>
  <c r="N524" i="5"/>
  <c r="M524" i="5"/>
  <c r="L524" i="5"/>
  <c r="O524" i="5" s="1"/>
  <c r="K517" i="5"/>
  <c r="J517" i="5"/>
  <c r="K516" i="5"/>
  <c r="P514" i="5"/>
  <c r="O514" i="5"/>
  <c r="P513" i="5"/>
  <c r="O513" i="5"/>
  <c r="P512" i="5"/>
  <c r="O512" i="5"/>
  <c r="N512" i="5"/>
  <c r="M512" i="5"/>
  <c r="L512" i="5"/>
  <c r="P507" i="5"/>
  <c r="O507" i="5"/>
  <c r="N507" i="5"/>
  <c r="P506" i="5"/>
  <c r="O506" i="5"/>
  <c r="M505" i="5"/>
  <c r="P505" i="5" s="1"/>
  <c r="L505" i="5"/>
  <c r="O505" i="5" s="1"/>
  <c r="M504" i="5"/>
  <c r="P504" i="5" s="1"/>
  <c r="L504" i="5"/>
  <c r="O504" i="5" s="1"/>
  <c r="P503" i="5"/>
  <c r="N503" i="5"/>
  <c r="M503" i="5"/>
  <c r="L503" i="5"/>
  <c r="O503" i="5" s="1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P478" i="5"/>
  <c r="O478" i="5"/>
  <c r="N477" i="5"/>
  <c r="M477" i="5"/>
  <c r="P477" i="5" s="1"/>
  <c r="N476" i="5"/>
  <c r="N473" i="5"/>
  <c r="N472" i="5"/>
  <c r="N470" i="5" s="1"/>
  <c r="L472" i="5"/>
  <c r="M472" i="5" s="1"/>
  <c r="P471" i="5"/>
  <c r="O471" i="5"/>
  <c r="N469" i="5"/>
  <c r="O468" i="5"/>
  <c r="N468" i="5"/>
  <c r="M468" i="5"/>
  <c r="P468" i="5" s="1"/>
  <c r="L468" i="5"/>
  <c r="J466" i="5"/>
  <c r="I466" i="5"/>
  <c r="K466" i="5" s="1"/>
  <c r="J465" i="5"/>
  <c r="I465" i="5"/>
  <c r="I464" i="5"/>
  <c r="I463" i="5"/>
  <c r="I462" i="5"/>
  <c r="K462" i="5" s="1"/>
  <c r="I460" i="5"/>
  <c r="I442" i="5" s="1"/>
  <c r="K442" i="5" s="1"/>
  <c r="K458" i="5"/>
  <c r="P456" i="5"/>
  <c r="L456" i="5"/>
  <c r="O456" i="5" s="1"/>
  <c r="P455" i="5"/>
  <c r="O455" i="5"/>
  <c r="N454" i="5"/>
  <c r="M454" i="5"/>
  <c r="P454" i="5" s="1"/>
  <c r="P449" i="5"/>
  <c r="N449" i="5"/>
  <c r="L449" i="5"/>
  <c r="O449" i="5" s="1"/>
  <c r="P448" i="5"/>
  <c r="O448" i="5"/>
  <c r="P447" i="5"/>
  <c r="N447" i="5"/>
  <c r="M447" i="5"/>
  <c r="L447" i="5"/>
  <c r="O447" i="5" s="1"/>
  <c r="P446" i="5"/>
  <c r="N446" i="5"/>
  <c r="M446" i="5"/>
  <c r="P445" i="5"/>
  <c r="O445" i="5"/>
  <c r="N445" i="5"/>
  <c r="M445" i="5"/>
  <c r="L445" i="5"/>
  <c r="N444" i="5"/>
  <c r="M444" i="5"/>
  <c r="P444" i="5" s="1"/>
  <c r="J443" i="5"/>
  <c r="J442" i="5"/>
  <c r="I441" i="5"/>
  <c r="K441" i="5" s="1"/>
  <c r="I440" i="5"/>
  <c r="I439" i="5"/>
  <c r="K439" i="5" s="1"/>
  <c r="I438" i="5"/>
  <c r="K438" i="5" s="1"/>
  <c r="I437" i="5"/>
  <c r="K437" i="5" s="1"/>
  <c r="I435" i="5"/>
  <c r="I433" i="5" s="1"/>
  <c r="I417" i="5" s="1"/>
  <c r="J434" i="5"/>
  <c r="P431" i="5"/>
  <c r="L431" i="5"/>
  <c r="O431" i="5" s="1"/>
  <c r="P430" i="5"/>
  <c r="O430" i="5"/>
  <c r="N429" i="5"/>
  <c r="M429" i="5"/>
  <c r="P429" i="5" s="1"/>
  <c r="N428" i="5"/>
  <c r="N424" i="5" s="1"/>
  <c r="N421" i="5" s="1"/>
  <c r="N425" i="5"/>
  <c r="L424" i="5"/>
  <c r="M424" i="5" s="1"/>
  <c r="P424" i="5" s="1"/>
  <c r="P423" i="5"/>
  <c r="O423" i="5"/>
  <c r="N422" i="5"/>
  <c r="N420" i="5"/>
  <c r="N419" i="5" s="1"/>
  <c r="M420" i="5"/>
  <c r="P420" i="5" s="1"/>
  <c r="L420" i="5"/>
  <c r="J418" i="5"/>
  <c r="K413" i="5"/>
  <c r="K412" i="5"/>
  <c r="N410" i="5"/>
  <c r="N408" i="5" s="1"/>
  <c r="M410" i="5"/>
  <c r="P410" i="5" s="1"/>
  <c r="L410" i="5"/>
  <c r="O410" i="5" s="1"/>
  <c r="P409" i="5"/>
  <c r="O409" i="5"/>
  <c r="N407" i="5"/>
  <c r="M407" i="5"/>
  <c r="L407" i="5"/>
  <c r="O407" i="5" s="1"/>
  <c r="P406" i="5"/>
  <c r="O406" i="5"/>
  <c r="P403" i="5"/>
  <c r="O403" i="5"/>
  <c r="N403" i="5"/>
  <c r="M403" i="5"/>
  <c r="L403" i="5"/>
  <c r="J401" i="5"/>
  <c r="I401" i="5"/>
  <c r="K401" i="5" s="1"/>
  <c r="K400" i="5"/>
  <c r="K399" i="5"/>
  <c r="N397" i="5"/>
  <c r="M397" i="5"/>
  <c r="P397" i="5" s="1"/>
  <c r="L397" i="5"/>
  <c r="P396" i="5"/>
  <c r="O396" i="5"/>
  <c r="N394" i="5"/>
  <c r="N392" i="5" s="1"/>
  <c r="M394" i="5"/>
  <c r="P394" i="5" s="1"/>
  <c r="L394" i="5"/>
  <c r="P393" i="5"/>
  <c r="O393" i="5"/>
  <c r="N390" i="5"/>
  <c r="M390" i="5"/>
  <c r="P390" i="5" s="1"/>
  <c r="L390" i="5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M351" i="5" s="1"/>
  <c r="L353" i="5"/>
  <c r="P352" i="5"/>
  <c r="O352" i="5"/>
  <c r="N350" i="5"/>
  <c r="M350" i="5"/>
  <c r="L350" i="5"/>
  <c r="P349" i="5"/>
  <c r="O349" i="5"/>
  <c r="N346" i="5"/>
  <c r="M346" i="5"/>
  <c r="L346" i="5"/>
  <c r="O346" i="5" s="1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P335" i="5"/>
  <c r="O335" i="5"/>
  <c r="N333" i="5"/>
  <c r="M333" i="5"/>
  <c r="M331" i="5" s="1"/>
  <c r="L333" i="5"/>
  <c r="P332" i="5"/>
  <c r="O332" i="5"/>
  <c r="N329" i="5"/>
  <c r="M329" i="5"/>
  <c r="L329" i="5"/>
  <c r="O329" i="5" s="1"/>
  <c r="I327" i="5"/>
  <c r="I325" i="5"/>
  <c r="K325" i="5" s="1"/>
  <c r="N323" i="5"/>
  <c r="N321" i="5" s="1"/>
  <c r="M323" i="5"/>
  <c r="L323" i="5"/>
  <c r="O323" i="5" s="1"/>
  <c r="P322" i="5"/>
  <c r="O322" i="5"/>
  <c r="N320" i="5"/>
  <c r="N318" i="5" s="1"/>
  <c r="M320" i="5"/>
  <c r="L320" i="5"/>
  <c r="O320" i="5" s="1"/>
  <c r="P319" i="5"/>
  <c r="O319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L306" i="5"/>
  <c r="O306" i="5" s="1"/>
  <c r="P305" i="5"/>
  <c r="O305" i="5"/>
  <c r="N303" i="5"/>
  <c r="M303" i="5"/>
  <c r="M301" i="5" s="1"/>
  <c r="L303" i="5"/>
  <c r="P302" i="5"/>
  <c r="O302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J288" i="5" s="1"/>
  <c r="J275" i="5" s="1"/>
  <c r="I287" i="5"/>
  <c r="K287" i="5" s="1"/>
  <c r="N285" i="5"/>
  <c r="N283" i="5" s="1"/>
  <c r="M285" i="5"/>
  <c r="P285" i="5" s="1"/>
  <c r="L285" i="5"/>
  <c r="L283" i="5" s="1"/>
  <c r="O283" i="5" s="1"/>
  <c r="P284" i="5"/>
  <c r="O284" i="5"/>
  <c r="N282" i="5"/>
  <c r="M282" i="5"/>
  <c r="P282" i="5" s="1"/>
  <c r="L282" i="5"/>
  <c r="L280" i="5" s="1"/>
  <c r="O280" i="5" s="1"/>
  <c r="P281" i="5"/>
  <c r="O281" i="5"/>
  <c r="P278" i="5"/>
  <c r="O278" i="5"/>
  <c r="N278" i="5"/>
  <c r="M278" i="5"/>
  <c r="L278" i="5"/>
  <c r="J276" i="5"/>
  <c r="I271" i="5"/>
  <c r="K271" i="5" s="1"/>
  <c r="N269" i="5"/>
  <c r="N267" i="5" s="1"/>
  <c r="M269" i="5"/>
  <c r="P269" i="5" s="1"/>
  <c r="L269" i="5"/>
  <c r="L267" i="5" s="1"/>
  <c r="O267" i="5" s="1"/>
  <c r="P268" i="5"/>
  <c r="O268" i="5"/>
  <c r="N266" i="5"/>
  <c r="M266" i="5"/>
  <c r="M264" i="5" s="1"/>
  <c r="L266" i="5"/>
  <c r="L264" i="5" s="1"/>
  <c r="P265" i="5"/>
  <c r="O265" i="5"/>
  <c r="P262" i="5"/>
  <c r="O262" i="5"/>
  <c r="N262" i="5"/>
  <c r="M262" i="5"/>
  <c r="L262" i="5"/>
  <c r="J260" i="5"/>
  <c r="K258" i="5"/>
  <c r="K257" i="5"/>
  <c r="I255" i="5"/>
  <c r="I248" i="5" s="1"/>
  <c r="L253" i="5"/>
  <c r="L252" i="5"/>
  <c r="L251" i="5"/>
  <c r="L250" i="5"/>
  <c r="P249" i="5"/>
  <c r="N249" i="5"/>
  <c r="J248" i="5"/>
  <c r="K247" i="5"/>
  <c r="K246" i="5"/>
  <c r="I244" i="5"/>
  <c r="I237" i="5" s="1"/>
  <c r="L242" i="5"/>
  <c r="L241" i="5"/>
  <c r="L240" i="5"/>
  <c r="N239" i="5"/>
  <c r="L239" i="5"/>
  <c r="P238" i="5"/>
  <c r="N238" i="5"/>
  <c r="N227" i="5" s="1"/>
  <c r="J237" i="5"/>
  <c r="J236" i="5"/>
  <c r="K236" i="5" s="1"/>
  <c r="I236" i="5"/>
  <c r="K235" i="5"/>
  <c r="J235" i="5"/>
  <c r="I235" i="5"/>
  <c r="J233" i="5"/>
  <c r="N231" i="5"/>
  <c r="N230" i="5"/>
  <c r="N229" i="5"/>
  <c r="N228" i="5"/>
  <c r="I225" i="5"/>
  <c r="K225" i="5" s="1"/>
  <c r="I224" i="5"/>
  <c r="I216" i="5" s="1"/>
  <c r="K216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K204" i="5" s="1"/>
  <c r="L202" i="5"/>
  <c r="L201" i="5"/>
  <c r="N200" i="5"/>
  <c r="N198" i="5" s="1"/>
  <c r="L200" i="5"/>
  <c r="L199" i="5"/>
  <c r="P198" i="5"/>
  <c r="J197" i="5"/>
  <c r="J195" i="5"/>
  <c r="J194" i="5"/>
  <c r="I193" i="5"/>
  <c r="K193" i="5" s="1"/>
  <c r="P191" i="5"/>
  <c r="L191" i="5"/>
  <c r="O191" i="5" s="1"/>
  <c r="J190" i="5"/>
  <c r="N189" i="5"/>
  <c r="M189" i="5"/>
  <c r="P189" i="5" s="1"/>
  <c r="L189" i="5"/>
  <c r="L187" i="5" s="1"/>
  <c r="O187" i="5" s="1"/>
  <c r="P188" i="5"/>
  <c r="O188" i="5"/>
  <c r="N186" i="5"/>
  <c r="N184" i="5" s="1"/>
  <c r="M186" i="5"/>
  <c r="L186" i="5"/>
  <c r="L184" i="5" s="1"/>
  <c r="P185" i="5"/>
  <c r="O185" i="5"/>
  <c r="P182" i="5"/>
  <c r="O182" i="5"/>
  <c r="N182" i="5"/>
  <c r="M182" i="5"/>
  <c r="L182" i="5"/>
  <c r="J177" i="5"/>
  <c r="J164" i="5" s="1"/>
  <c r="I176" i="5"/>
  <c r="I174" i="5" s="1"/>
  <c r="I164" i="5" s="1"/>
  <c r="J174" i="5"/>
  <c r="N173" i="5"/>
  <c r="N171" i="5" s="1"/>
  <c r="M173" i="5"/>
  <c r="P173" i="5" s="1"/>
  <c r="L173" i="5"/>
  <c r="L171" i="5" s="1"/>
  <c r="O171" i="5" s="1"/>
  <c r="P172" i="5"/>
  <c r="O172" i="5"/>
  <c r="N170" i="5"/>
  <c r="M170" i="5"/>
  <c r="L170" i="5"/>
  <c r="L168" i="5" s="1"/>
  <c r="P169" i="5"/>
  <c r="O169" i="5"/>
  <c r="P166" i="5"/>
  <c r="N166" i="5"/>
  <c r="M166" i="5"/>
  <c r="L166" i="5"/>
  <c r="O166" i="5" s="1"/>
  <c r="I159" i="5"/>
  <c r="K159" i="5" s="1"/>
  <c r="N157" i="5"/>
  <c r="N155" i="5" s="1"/>
  <c r="M157" i="5"/>
  <c r="P157" i="5" s="1"/>
  <c r="L157" i="5"/>
  <c r="L155" i="5" s="1"/>
  <c r="O155" i="5" s="1"/>
  <c r="P156" i="5"/>
  <c r="O156" i="5"/>
  <c r="N154" i="5"/>
  <c r="N152" i="5" s="1"/>
  <c r="M154" i="5"/>
  <c r="L154" i="5"/>
  <c r="P153" i="5"/>
  <c r="O153" i="5"/>
  <c r="O150" i="5"/>
  <c r="N150" i="5"/>
  <c r="M150" i="5"/>
  <c r="P150" i="5" s="1"/>
  <c r="L150" i="5"/>
  <c r="J148" i="5"/>
  <c r="I146" i="5"/>
  <c r="K146" i="5" s="1"/>
  <c r="I145" i="5"/>
  <c r="I144" i="5"/>
  <c r="K144" i="5" s="1"/>
  <c r="N140" i="5"/>
  <c r="N138" i="5" s="1"/>
  <c r="M140" i="5"/>
  <c r="M138" i="5" s="1"/>
  <c r="L140" i="5"/>
  <c r="L138" i="5" s="1"/>
  <c r="P139" i="5"/>
  <c r="O139" i="5"/>
  <c r="N137" i="5"/>
  <c r="N135" i="5" s="1"/>
  <c r="M137" i="5"/>
  <c r="M135" i="5" s="1"/>
  <c r="L137" i="5"/>
  <c r="P136" i="5"/>
  <c r="O136" i="5"/>
  <c r="N133" i="5"/>
  <c r="M133" i="5"/>
  <c r="P133" i="5" s="1"/>
  <c r="L133" i="5"/>
  <c r="O133" i="5" s="1"/>
  <c r="J130" i="5"/>
  <c r="N127" i="5"/>
  <c r="M127" i="5"/>
  <c r="M125" i="5" s="1"/>
  <c r="L127" i="5"/>
  <c r="P126" i="5"/>
  <c r="O126" i="5"/>
  <c r="N124" i="5"/>
  <c r="N122" i="5" s="1"/>
  <c r="M124" i="5"/>
  <c r="M122" i="5" s="1"/>
  <c r="P122" i="5" s="1"/>
  <c r="L124" i="5"/>
  <c r="O124" i="5" s="1"/>
  <c r="P123" i="5"/>
  <c r="O123" i="5"/>
  <c r="O120" i="5"/>
  <c r="N120" i="5"/>
  <c r="M120" i="5"/>
  <c r="P120" i="5" s="1"/>
  <c r="L120" i="5"/>
  <c r="J118" i="5"/>
  <c r="K118" i="5" s="1"/>
  <c r="I116" i="5"/>
  <c r="K116" i="5" s="1"/>
  <c r="I115" i="5"/>
  <c r="I114" i="5"/>
  <c r="K114" i="5" s="1"/>
  <c r="I113" i="5"/>
  <c r="K113" i="5" s="1"/>
  <c r="J112" i="5"/>
  <c r="J111" i="5"/>
  <c r="I111" i="5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K99" i="5" s="1"/>
  <c r="J98" i="5"/>
  <c r="I98" i="5"/>
  <c r="K98" i="5" s="1"/>
  <c r="N96" i="5"/>
  <c r="N94" i="5" s="1"/>
  <c r="M96" i="5"/>
  <c r="P96" i="5" s="1"/>
  <c r="L96" i="5"/>
  <c r="O96" i="5" s="1"/>
  <c r="P95" i="5"/>
  <c r="O95" i="5"/>
  <c r="N93" i="5"/>
  <c r="N91" i="5" s="1"/>
  <c r="M93" i="5"/>
  <c r="L93" i="5"/>
  <c r="P92" i="5"/>
  <c r="O92" i="5"/>
  <c r="P89" i="5"/>
  <c r="O89" i="5"/>
  <c r="N89" i="5"/>
  <c r="M89" i="5"/>
  <c r="L89" i="5"/>
  <c r="J86" i="5"/>
  <c r="I84" i="5"/>
  <c r="K84" i="5" s="1"/>
  <c r="I83" i="5"/>
  <c r="K83" i="5" s="1"/>
  <c r="I82" i="5"/>
  <c r="K82" i="5" s="1"/>
  <c r="I81" i="5"/>
  <c r="K81" i="5" s="1"/>
  <c r="I80" i="5"/>
  <c r="K80" i="5" s="1"/>
  <c r="I79" i="5"/>
  <c r="I78" i="5"/>
  <c r="K78" i="5" s="1"/>
  <c r="J77" i="5"/>
  <c r="J65" i="5" s="1"/>
  <c r="J76" i="5"/>
  <c r="N74" i="5"/>
  <c r="N72" i="5" s="1"/>
  <c r="M74" i="5"/>
  <c r="M72" i="5" s="1"/>
  <c r="P72" i="5" s="1"/>
  <c r="L74" i="5"/>
  <c r="O74" i="5" s="1"/>
  <c r="P73" i="5"/>
  <c r="O73" i="5"/>
  <c r="N71" i="5"/>
  <c r="N69" i="5" s="1"/>
  <c r="M71" i="5"/>
  <c r="M69" i="5" s="1"/>
  <c r="P69" i="5" s="1"/>
  <c r="L71" i="5"/>
  <c r="P70" i="5"/>
  <c r="O70" i="5"/>
  <c r="O67" i="5"/>
  <c r="N67" i="5"/>
  <c r="M67" i="5"/>
  <c r="P67" i="5" s="1"/>
  <c r="L67" i="5"/>
  <c r="J64" i="5"/>
  <c r="N61" i="5"/>
  <c r="N59" i="5" s="1"/>
  <c r="M61" i="5"/>
  <c r="M59" i="5" s="1"/>
  <c r="L61" i="5"/>
  <c r="L59" i="5" s="1"/>
  <c r="P60" i="5"/>
  <c r="O60" i="5"/>
  <c r="N58" i="5"/>
  <c r="M58" i="5"/>
  <c r="M56" i="5" s="1"/>
  <c r="L58" i="5"/>
  <c r="P57" i="5"/>
  <c r="O57" i="5"/>
  <c r="O54" i="5"/>
  <c r="N54" i="5"/>
  <c r="M54" i="5"/>
  <c r="L54" i="5"/>
  <c r="N49" i="5"/>
  <c r="N47" i="5" s="1"/>
  <c r="M49" i="5"/>
  <c r="M47" i="5" s="1"/>
  <c r="P47" i="5" s="1"/>
  <c r="L49" i="5"/>
  <c r="L47" i="5" s="1"/>
  <c r="O47" i="5" s="1"/>
  <c r="P48" i="5"/>
  <c r="O48" i="5"/>
  <c r="N46" i="5"/>
  <c r="M46" i="5"/>
  <c r="M44" i="5" s="1"/>
  <c r="L46" i="5"/>
  <c r="L44" i="5" s="1"/>
  <c r="P45" i="5"/>
  <c r="O45" i="5"/>
  <c r="O42" i="5"/>
  <c r="N42" i="5"/>
  <c r="M42" i="5"/>
  <c r="P42" i="5" s="1"/>
  <c r="L42" i="5"/>
  <c r="P36" i="5"/>
  <c r="N36" i="5"/>
  <c r="M36" i="5"/>
  <c r="M34" i="5" s="1"/>
  <c r="P34" i="5" s="1"/>
  <c r="P35" i="5"/>
  <c r="O35" i="5"/>
  <c r="N35" i="5"/>
  <c r="M35" i="5"/>
  <c r="L35" i="5"/>
  <c r="N34" i="5"/>
  <c r="N33" i="5"/>
  <c r="N30" i="5" s="1"/>
  <c r="N32" i="5"/>
  <c r="M32" i="5"/>
  <c r="L32" i="5"/>
  <c r="O32" i="5" s="1"/>
  <c r="N29" i="5"/>
  <c r="N28" i="5" s="1"/>
  <c r="L29" i="5"/>
  <c r="O25" i="5"/>
  <c r="N25" i="5"/>
  <c r="M25" i="5"/>
  <c r="P25" i="5" s="1"/>
  <c r="L25" i="5"/>
  <c r="P22" i="5"/>
  <c r="N22" i="5"/>
  <c r="M22" i="5"/>
  <c r="L22" i="5"/>
  <c r="O22" i="5" s="1"/>
  <c r="M19" i="5"/>
  <c r="N15" i="5"/>
  <c r="M12" i="5"/>
  <c r="J828" i="4"/>
  <c r="I828" i="4"/>
  <c r="J827" i="4"/>
  <c r="I827" i="4"/>
  <c r="J826" i="4"/>
  <c r="I826" i="4"/>
  <c r="K826" i="4" s="1"/>
  <c r="J825" i="4"/>
  <c r="I825" i="4"/>
  <c r="K825" i="4" s="1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N807" i="4" s="1"/>
  <c r="N805" i="4" s="1"/>
  <c r="P809" i="4"/>
  <c r="O809" i="4"/>
  <c r="P808" i="4"/>
  <c r="N808" i="4"/>
  <c r="M808" i="4"/>
  <c r="L808" i="4"/>
  <c r="O808" i="4" s="1"/>
  <c r="O807" i="4"/>
  <c r="M807" i="4"/>
  <c r="L807" i="4"/>
  <c r="P806" i="4"/>
  <c r="N806" i="4"/>
  <c r="M806" i="4"/>
  <c r="L806" i="4"/>
  <c r="K804" i="4"/>
  <c r="J804" i="4"/>
  <c r="K802" i="4"/>
  <c r="J801" i="4"/>
  <c r="J800" i="4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N786" i="4" s="1"/>
  <c r="L791" i="4"/>
  <c r="O791" i="4" s="1"/>
  <c r="P790" i="4"/>
  <c r="O790" i="4"/>
  <c r="P789" i="4"/>
  <c r="N789" i="4"/>
  <c r="M789" i="4"/>
  <c r="L789" i="4"/>
  <c r="O789" i="4" s="1"/>
  <c r="M788" i="4"/>
  <c r="P787" i="4"/>
  <c r="N787" i="4"/>
  <c r="M787" i="4"/>
  <c r="L787" i="4"/>
  <c r="J785" i="4"/>
  <c r="P782" i="4"/>
  <c r="O782" i="4"/>
  <c r="P781" i="4"/>
  <c r="O781" i="4"/>
  <c r="O780" i="4"/>
  <c r="N780" i="4"/>
  <c r="M780" i="4"/>
  <c r="P780" i="4" s="1"/>
  <c r="L780" i="4"/>
  <c r="P775" i="4"/>
  <c r="O775" i="4"/>
  <c r="N775" i="4"/>
  <c r="N773" i="4" s="1"/>
  <c r="P774" i="4"/>
  <c r="O774" i="4"/>
  <c r="O773" i="4"/>
  <c r="M773" i="4"/>
  <c r="P773" i="4" s="1"/>
  <c r="L773" i="4"/>
  <c r="P772" i="4"/>
  <c r="N772" i="4"/>
  <c r="N770" i="4" s="1"/>
  <c r="M772" i="4"/>
  <c r="L772" i="4"/>
  <c r="O772" i="4" s="1"/>
  <c r="O771" i="4"/>
  <c r="N771" i="4"/>
  <c r="M771" i="4"/>
  <c r="L771" i="4"/>
  <c r="L770" i="4"/>
  <c r="O770" i="4" s="1"/>
  <c r="K769" i="4"/>
  <c r="J769" i="4"/>
  <c r="P766" i="4"/>
  <c r="O766" i="4"/>
  <c r="P765" i="4"/>
  <c r="O765" i="4"/>
  <c r="O764" i="4"/>
  <c r="N764" i="4"/>
  <c r="M764" i="4"/>
  <c r="P764" i="4" s="1"/>
  <c r="L764" i="4"/>
  <c r="P759" i="4"/>
  <c r="O759" i="4"/>
  <c r="N759" i="4"/>
  <c r="N757" i="4" s="1"/>
  <c r="P758" i="4"/>
  <c r="O758" i="4"/>
  <c r="O757" i="4"/>
  <c r="M757" i="4"/>
  <c r="P757" i="4" s="1"/>
  <c r="L757" i="4"/>
  <c r="P756" i="4"/>
  <c r="N756" i="4"/>
  <c r="N754" i="4" s="1"/>
  <c r="M756" i="4"/>
  <c r="L756" i="4"/>
  <c r="O756" i="4" s="1"/>
  <c r="O755" i="4"/>
  <c r="N755" i="4"/>
  <c r="M755" i="4"/>
  <c r="L755" i="4"/>
  <c r="L754" i="4"/>
  <c r="O754" i="4" s="1"/>
  <c r="K753" i="4"/>
  <c r="J753" i="4"/>
  <c r="P749" i="4"/>
  <c r="O749" i="4"/>
  <c r="P748" i="4"/>
  <c r="O748" i="4"/>
  <c r="O747" i="4"/>
  <c r="N747" i="4"/>
  <c r="M747" i="4"/>
  <c r="P747" i="4" s="1"/>
  <c r="L747" i="4"/>
  <c r="P742" i="4"/>
  <c r="O742" i="4"/>
  <c r="N742" i="4"/>
  <c r="N740" i="4" s="1"/>
  <c r="P741" i="4"/>
  <c r="O741" i="4"/>
  <c r="O740" i="4"/>
  <c r="M740" i="4"/>
  <c r="P740" i="4" s="1"/>
  <c r="L740" i="4"/>
  <c r="P739" i="4"/>
  <c r="N739" i="4"/>
  <c r="N737" i="4" s="1"/>
  <c r="M739" i="4"/>
  <c r="L739" i="4"/>
  <c r="O739" i="4" s="1"/>
  <c r="O738" i="4"/>
  <c r="N738" i="4"/>
  <c r="M738" i="4"/>
  <c r="L738" i="4"/>
  <c r="L737" i="4"/>
  <c r="O737" i="4" s="1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O695" i="4"/>
  <c r="N695" i="4"/>
  <c r="M695" i="4"/>
  <c r="P695" i="4" s="1"/>
  <c r="L695" i="4"/>
  <c r="P690" i="4"/>
  <c r="N690" i="4"/>
  <c r="N687" i="4" s="1"/>
  <c r="N685" i="4" s="1"/>
  <c r="L690" i="4"/>
  <c r="O690" i="4" s="1"/>
  <c r="P688" i="4"/>
  <c r="N688" i="4"/>
  <c r="M688" i="4"/>
  <c r="M687" i="4"/>
  <c r="P686" i="4"/>
  <c r="N686" i="4"/>
  <c r="M686" i="4"/>
  <c r="L686" i="4"/>
  <c r="J679" i="4"/>
  <c r="J678" i="4" s="1"/>
  <c r="I678" i="4"/>
  <c r="K678" i="4" s="1"/>
  <c r="J675" i="4"/>
  <c r="I671" i="4"/>
  <c r="K671" i="4" s="1"/>
  <c r="I670" i="4"/>
  <c r="K670" i="4" s="1"/>
  <c r="J669" i="4"/>
  <c r="J654" i="4" s="1"/>
  <c r="I669" i="4"/>
  <c r="K673" i="4" s="1"/>
  <c r="P667" i="4"/>
  <c r="O667" i="4"/>
  <c r="P666" i="4"/>
  <c r="O666" i="4"/>
  <c r="P665" i="4"/>
  <c r="N665" i="4"/>
  <c r="M665" i="4"/>
  <c r="L665" i="4"/>
  <c r="O665" i="4" s="1"/>
  <c r="P660" i="4"/>
  <c r="N660" i="4"/>
  <c r="L660" i="4"/>
  <c r="L658" i="4" s="1"/>
  <c r="O658" i="4" s="1"/>
  <c r="P659" i="4"/>
  <c r="O659" i="4"/>
  <c r="N658" i="4"/>
  <c r="M658" i="4"/>
  <c r="P658" i="4" s="1"/>
  <c r="P657" i="4"/>
  <c r="N657" i="4"/>
  <c r="M657" i="4"/>
  <c r="O656" i="4"/>
  <c r="N656" i="4"/>
  <c r="M656" i="4"/>
  <c r="M655" i="4" s="1"/>
  <c r="P655" i="4" s="1"/>
  <c r="L656" i="4"/>
  <c r="N655" i="4"/>
  <c r="K652" i="4"/>
  <c r="J652" i="4"/>
  <c r="J651" i="4"/>
  <c r="J628" i="4" s="1"/>
  <c r="I651" i="4"/>
  <c r="I628" i="4" s="1"/>
  <c r="K628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P639" i="4"/>
  <c r="N639" i="4"/>
  <c r="M639" i="4"/>
  <c r="P634" i="4"/>
  <c r="N634" i="4"/>
  <c r="L634" i="4"/>
  <c r="P633" i="4"/>
  <c r="O633" i="4"/>
  <c r="N632" i="4"/>
  <c r="M632" i="4"/>
  <c r="P632" i="4" s="1"/>
  <c r="P631" i="4"/>
  <c r="N631" i="4"/>
  <c r="M631" i="4"/>
  <c r="O630" i="4"/>
  <c r="N630" i="4"/>
  <c r="M630" i="4"/>
  <c r="P630" i="4" s="1"/>
  <c r="L630" i="4"/>
  <c r="P629" i="4"/>
  <c r="N629" i="4"/>
  <c r="M629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3" i="4" s="1"/>
  <c r="J596" i="4"/>
  <c r="J594" i="4" s="1"/>
  <c r="J595" i="4"/>
  <c r="I594" i="4"/>
  <c r="I593" i="4"/>
  <c r="I592" i="4" s="1"/>
  <c r="J583" i="4"/>
  <c r="J582" i="4"/>
  <c r="J577" i="4"/>
  <c r="I577" i="4"/>
  <c r="J576" i="4"/>
  <c r="I576" i="4"/>
  <c r="I559" i="4" s="1"/>
  <c r="K559" i="4" s="1"/>
  <c r="J569" i="4"/>
  <c r="I569" i="4"/>
  <c r="K569" i="4" s="1"/>
  <c r="J568" i="4"/>
  <c r="I568" i="4"/>
  <c r="K568" i="4" s="1"/>
  <c r="J561" i="4"/>
  <c r="I561" i="4"/>
  <c r="J560" i="4"/>
  <c r="I560" i="4"/>
  <c r="K560" i="4" s="1"/>
  <c r="J559" i="4"/>
  <c r="J543" i="4" s="1"/>
  <c r="P557" i="4"/>
  <c r="L557" i="4"/>
  <c r="L555" i="4" s="1"/>
  <c r="O555" i="4" s="1"/>
  <c r="P556" i="4"/>
  <c r="O556" i="4"/>
  <c r="N555" i="4"/>
  <c r="M555" i="4"/>
  <c r="P555" i="4" s="1"/>
  <c r="N553" i="4"/>
  <c r="N549" i="4" s="1"/>
  <c r="L549" i="4"/>
  <c r="M549" i="4" s="1"/>
  <c r="P549" i="4" s="1"/>
  <c r="P548" i="4"/>
  <c r="O548" i="4"/>
  <c r="P545" i="4"/>
  <c r="N545" i="4"/>
  <c r="M545" i="4"/>
  <c r="L545" i="4"/>
  <c r="O545" i="4" s="1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K537" i="4" s="1"/>
  <c r="P535" i="4"/>
  <c r="L535" i="4"/>
  <c r="L533" i="4" s="1"/>
  <c r="O533" i="4" s="1"/>
  <c r="P534" i="4"/>
  <c r="O534" i="4"/>
  <c r="N533" i="4"/>
  <c r="M533" i="4"/>
  <c r="P533" i="4" s="1"/>
  <c r="P528" i="4"/>
  <c r="N528" i="4"/>
  <c r="N525" i="4" s="1"/>
  <c r="L528" i="4"/>
  <c r="O528" i="4" s="1"/>
  <c r="P527" i="4"/>
  <c r="O527" i="4"/>
  <c r="P526" i="4"/>
  <c r="N526" i="4"/>
  <c r="M526" i="4"/>
  <c r="M525" i="4"/>
  <c r="P525" i="4" s="1"/>
  <c r="P524" i="4"/>
  <c r="N524" i="4"/>
  <c r="M524" i="4"/>
  <c r="L524" i="4"/>
  <c r="M523" i="4"/>
  <c r="P523" i="4" s="1"/>
  <c r="K517" i="4"/>
  <c r="J517" i="4"/>
  <c r="J501" i="4" s="1"/>
  <c r="K516" i="4"/>
  <c r="P514" i="4"/>
  <c r="O514" i="4"/>
  <c r="P513" i="4"/>
  <c r="O513" i="4"/>
  <c r="P512" i="4"/>
  <c r="N512" i="4"/>
  <c r="M512" i="4"/>
  <c r="L512" i="4"/>
  <c r="O512" i="4" s="1"/>
  <c r="P507" i="4"/>
  <c r="O507" i="4"/>
  <c r="N507" i="4"/>
  <c r="N504" i="4" s="1"/>
  <c r="N502" i="4" s="1"/>
  <c r="P506" i="4"/>
  <c r="O506" i="4"/>
  <c r="P505" i="4"/>
  <c r="N505" i="4"/>
  <c r="M505" i="4"/>
  <c r="L505" i="4"/>
  <c r="O505" i="4" s="1"/>
  <c r="O504" i="4"/>
  <c r="M504" i="4"/>
  <c r="L504" i="4"/>
  <c r="P503" i="4"/>
  <c r="N503" i="4"/>
  <c r="M503" i="4"/>
  <c r="L503" i="4"/>
  <c r="L502" i="4" s="1"/>
  <c r="O502" i="4" s="1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P478" i="4"/>
  <c r="O478" i="4"/>
  <c r="N477" i="4"/>
  <c r="M477" i="4"/>
  <c r="P477" i="4" s="1"/>
  <c r="N476" i="4"/>
  <c r="N472" i="4" s="1"/>
  <c r="L472" i="4"/>
  <c r="O472" i="4" s="1"/>
  <c r="P471" i="4"/>
  <c r="O471" i="4"/>
  <c r="P468" i="4"/>
  <c r="N468" i="4"/>
  <c r="M468" i="4"/>
  <c r="L468" i="4"/>
  <c r="J466" i="4"/>
  <c r="I466" i="4"/>
  <c r="K466" i="4" s="1"/>
  <c r="J465" i="4"/>
  <c r="I465" i="4"/>
  <c r="K465" i="4" s="1"/>
  <c r="I464" i="4"/>
  <c r="I463" i="4"/>
  <c r="I462" i="4"/>
  <c r="K462" i="4" s="1"/>
  <c r="I460" i="4"/>
  <c r="K460" i="4" s="1"/>
  <c r="K458" i="4"/>
  <c r="P456" i="4"/>
  <c r="L456" i="4"/>
  <c r="L454" i="4" s="1"/>
  <c r="O454" i="4" s="1"/>
  <c r="P455" i="4"/>
  <c r="O455" i="4"/>
  <c r="P454" i="4"/>
  <c r="N454" i="4"/>
  <c r="M454" i="4"/>
  <c r="N453" i="4"/>
  <c r="N449" i="4"/>
  <c r="N447" i="4" s="1"/>
  <c r="L449" i="4"/>
  <c r="P448" i="4"/>
  <c r="O448" i="4"/>
  <c r="N446" i="4"/>
  <c r="O445" i="4"/>
  <c r="N445" i="4"/>
  <c r="N444" i="4" s="1"/>
  <c r="M445" i="4"/>
  <c r="P445" i="4" s="1"/>
  <c r="L445" i="4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J434" i="4"/>
  <c r="P431" i="4"/>
  <c r="L431" i="4"/>
  <c r="O431" i="4" s="1"/>
  <c r="P430" i="4"/>
  <c r="O430" i="4"/>
  <c r="P429" i="4"/>
  <c r="N429" i="4"/>
  <c r="M429" i="4"/>
  <c r="L429" i="4"/>
  <c r="O429" i="4" s="1"/>
  <c r="N428" i="4"/>
  <c r="N424" i="4" s="1"/>
  <c r="L424" i="4"/>
  <c r="P423" i="4"/>
  <c r="O423" i="4"/>
  <c r="P420" i="4"/>
  <c r="O420" i="4"/>
  <c r="N420" i="4"/>
  <c r="M420" i="4"/>
  <c r="L420" i="4"/>
  <c r="J418" i="4"/>
  <c r="K413" i="4"/>
  <c r="K412" i="4"/>
  <c r="N410" i="4"/>
  <c r="N408" i="4" s="1"/>
  <c r="M410" i="4"/>
  <c r="L410" i="4"/>
  <c r="L408" i="4" s="1"/>
  <c r="O408" i="4" s="1"/>
  <c r="P409" i="4"/>
  <c r="O409" i="4"/>
  <c r="N407" i="4"/>
  <c r="N405" i="4" s="1"/>
  <c r="M407" i="4"/>
  <c r="M405" i="4" s="1"/>
  <c r="P405" i="4" s="1"/>
  <c r="L407" i="4"/>
  <c r="O407" i="4" s="1"/>
  <c r="P406" i="4"/>
  <c r="O406" i="4"/>
  <c r="O403" i="4"/>
  <c r="N403" i="4"/>
  <c r="M403" i="4"/>
  <c r="L403" i="4"/>
  <c r="J401" i="4"/>
  <c r="I401" i="4"/>
  <c r="K401" i="4" s="1"/>
  <c r="K400" i="4"/>
  <c r="K399" i="4"/>
  <c r="N397" i="4"/>
  <c r="N395" i="4" s="1"/>
  <c r="M397" i="4"/>
  <c r="P397" i="4" s="1"/>
  <c r="L397" i="4"/>
  <c r="O397" i="4" s="1"/>
  <c r="P396" i="4"/>
  <c r="O396" i="4"/>
  <c r="N394" i="4"/>
  <c r="M394" i="4"/>
  <c r="P394" i="4" s="1"/>
  <c r="L394" i="4"/>
  <c r="P393" i="4"/>
  <c r="O393" i="4"/>
  <c r="O390" i="4"/>
  <c r="N390" i="4"/>
  <c r="M390" i="4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L351" i="4" s="1"/>
  <c r="P352" i="4"/>
  <c r="O352" i="4"/>
  <c r="N350" i="4"/>
  <c r="N348" i="4" s="1"/>
  <c r="M350" i="4"/>
  <c r="M348" i="4" s="1"/>
  <c r="L350" i="4"/>
  <c r="P349" i="4"/>
  <c r="O349" i="4"/>
  <c r="P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P336" i="4" s="1"/>
  <c r="L336" i="4"/>
  <c r="O336" i="4" s="1"/>
  <c r="P335" i="4"/>
  <c r="O335" i="4"/>
  <c r="N333" i="4"/>
  <c r="N331" i="4" s="1"/>
  <c r="M333" i="4"/>
  <c r="L333" i="4"/>
  <c r="P332" i="4"/>
  <c r="O332" i="4"/>
  <c r="P329" i="4"/>
  <c r="N329" i="4"/>
  <c r="M329" i="4"/>
  <c r="L329" i="4"/>
  <c r="I327" i="4"/>
  <c r="I325" i="4"/>
  <c r="K325" i="4" s="1"/>
  <c r="N323" i="4"/>
  <c r="N321" i="4" s="1"/>
  <c r="M323" i="4"/>
  <c r="P323" i="4" s="1"/>
  <c r="L323" i="4"/>
  <c r="O323" i="4" s="1"/>
  <c r="P322" i="4"/>
  <c r="O322" i="4"/>
  <c r="N320" i="4"/>
  <c r="N318" i="4" s="1"/>
  <c r="M320" i="4"/>
  <c r="P320" i="4" s="1"/>
  <c r="L320" i="4"/>
  <c r="L318" i="4" s="1"/>
  <c r="O318" i="4" s="1"/>
  <c r="P319" i="4"/>
  <c r="O319" i="4"/>
  <c r="P316" i="4"/>
  <c r="N316" i="4"/>
  <c r="M316" i="4"/>
  <c r="L316" i="4"/>
  <c r="O316" i="4" s="1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L306" i="4"/>
  <c r="O306" i="4" s="1"/>
  <c r="P305" i="4"/>
  <c r="O305" i="4"/>
  <c r="N303" i="4"/>
  <c r="N301" i="4" s="1"/>
  <c r="M303" i="4"/>
  <c r="L303" i="4"/>
  <c r="L301" i="4" s="1"/>
  <c r="O301" i="4" s="1"/>
  <c r="P302" i="4"/>
  <c r="O302" i="4"/>
  <c r="P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K288" i="4" s="1"/>
  <c r="I287" i="4"/>
  <c r="K287" i="4" s="1"/>
  <c r="N285" i="4"/>
  <c r="M285" i="4"/>
  <c r="P285" i="4" s="1"/>
  <c r="L285" i="4"/>
  <c r="O285" i="4" s="1"/>
  <c r="P284" i="4"/>
  <c r="O284" i="4"/>
  <c r="N282" i="4"/>
  <c r="N280" i="4" s="1"/>
  <c r="M282" i="4"/>
  <c r="L282" i="4"/>
  <c r="O282" i="4" s="1"/>
  <c r="P281" i="4"/>
  <c r="O281" i="4"/>
  <c r="O278" i="4"/>
  <c r="N278" i="4"/>
  <c r="M278" i="4"/>
  <c r="L278" i="4"/>
  <c r="J276" i="4"/>
  <c r="I271" i="4"/>
  <c r="K271" i="4" s="1"/>
  <c r="N269" i="4"/>
  <c r="N267" i="4" s="1"/>
  <c r="M269" i="4"/>
  <c r="L269" i="4"/>
  <c r="P268" i="4"/>
  <c r="O268" i="4"/>
  <c r="N266" i="4"/>
  <c r="N264" i="4" s="1"/>
  <c r="M266" i="4"/>
  <c r="L266" i="4"/>
  <c r="P265" i="4"/>
  <c r="O265" i="4"/>
  <c r="P262" i="4"/>
  <c r="N262" i="4"/>
  <c r="M262" i="4"/>
  <c r="L262" i="4"/>
  <c r="J260" i="4"/>
  <c r="K258" i="4"/>
  <c r="K257" i="4"/>
  <c r="I255" i="4"/>
  <c r="L253" i="4"/>
  <c r="L252" i="4"/>
  <c r="L251" i="4"/>
  <c r="L250" i="4"/>
  <c r="P249" i="4"/>
  <c r="N249" i="4"/>
  <c r="J248" i="4"/>
  <c r="K247" i="4"/>
  <c r="K246" i="4"/>
  <c r="I244" i="4"/>
  <c r="K244" i="4" s="1"/>
  <c r="L242" i="4"/>
  <c r="L241" i="4"/>
  <c r="L240" i="4"/>
  <c r="L239" i="4"/>
  <c r="P238" i="4"/>
  <c r="N238" i="4"/>
  <c r="N227" i="4" s="1"/>
  <c r="J237" i="4"/>
  <c r="J226" i="4" s="1"/>
  <c r="J180" i="4" s="1"/>
  <c r="K236" i="4"/>
  <c r="J236" i="4"/>
  <c r="I236" i="4"/>
  <c r="K235" i="4"/>
  <c r="J235" i="4"/>
  <c r="I235" i="4"/>
  <c r="J233" i="4"/>
  <c r="N231" i="4"/>
  <c r="N230" i="4"/>
  <c r="N229" i="4"/>
  <c r="N228" i="4"/>
  <c r="I225" i="4"/>
  <c r="K225" i="4" s="1"/>
  <c r="I224" i="4"/>
  <c r="K224" i="4" s="1"/>
  <c r="I223" i="4"/>
  <c r="K223" i="4" s="1"/>
  <c r="N220" i="4"/>
  <c r="L220" i="4"/>
  <c r="L219" i="4"/>
  <c r="N218" i="4"/>
  <c r="N217" i="4" s="1"/>
  <c r="L218" i="4"/>
  <c r="P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L189" i="4"/>
  <c r="O189" i="4" s="1"/>
  <c r="P188" i="4"/>
  <c r="O188" i="4"/>
  <c r="N186" i="4"/>
  <c r="M186" i="4"/>
  <c r="L186" i="4"/>
  <c r="P185" i="4"/>
  <c r="O185" i="4"/>
  <c r="P182" i="4"/>
  <c r="N182" i="4"/>
  <c r="M182" i="4"/>
  <c r="L182" i="4"/>
  <c r="J177" i="4"/>
  <c r="J164" i="4" s="1"/>
  <c r="I176" i="4"/>
  <c r="I174" i="4" s="1"/>
  <c r="J174" i="4"/>
  <c r="N173" i="4"/>
  <c r="N171" i="4" s="1"/>
  <c r="M173" i="4"/>
  <c r="L173" i="4"/>
  <c r="O173" i="4" s="1"/>
  <c r="P172" i="4"/>
  <c r="O172" i="4"/>
  <c r="N170" i="4"/>
  <c r="N168" i="4" s="1"/>
  <c r="M170" i="4"/>
  <c r="L170" i="4"/>
  <c r="L168" i="4" s="1"/>
  <c r="P169" i="4"/>
  <c r="O169" i="4"/>
  <c r="P166" i="4"/>
  <c r="N166" i="4"/>
  <c r="M166" i="4"/>
  <c r="L166" i="4"/>
  <c r="I159" i="4"/>
  <c r="K159" i="4" s="1"/>
  <c r="N157" i="4"/>
  <c r="N155" i="4" s="1"/>
  <c r="M157" i="4"/>
  <c r="P157" i="4" s="1"/>
  <c r="L157" i="4"/>
  <c r="P156" i="4"/>
  <c r="O156" i="4"/>
  <c r="N154" i="4"/>
  <c r="M154" i="4"/>
  <c r="P154" i="4" s="1"/>
  <c r="L154" i="4"/>
  <c r="O154" i="4" s="1"/>
  <c r="P153" i="4"/>
  <c r="O153" i="4"/>
  <c r="P150" i="4"/>
  <c r="N150" i="4"/>
  <c r="M150" i="4"/>
  <c r="L150" i="4"/>
  <c r="J148" i="4"/>
  <c r="I146" i="4"/>
  <c r="I145" i="4"/>
  <c r="K145" i="4" s="1"/>
  <c r="I144" i="4"/>
  <c r="K144" i="4" s="1"/>
  <c r="N140" i="4"/>
  <c r="N138" i="4" s="1"/>
  <c r="M140" i="4"/>
  <c r="P140" i="4" s="1"/>
  <c r="L140" i="4"/>
  <c r="P139" i="4"/>
  <c r="O139" i="4"/>
  <c r="N137" i="4"/>
  <c r="N135" i="4" s="1"/>
  <c r="M137" i="4"/>
  <c r="P137" i="4" s="1"/>
  <c r="L137" i="4"/>
  <c r="P136" i="4"/>
  <c r="O136" i="4"/>
  <c r="O133" i="4"/>
  <c r="N133" i="4"/>
  <c r="M133" i="4"/>
  <c r="P133" i="4" s="1"/>
  <c r="L133" i="4"/>
  <c r="J130" i="4"/>
  <c r="N127" i="4"/>
  <c r="N125" i="4" s="1"/>
  <c r="M127" i="4"/>
  <c r="P127" i="4" s="1"/>
  <c r="L127" i="4"/>
  <c r="O127" i="4" s="1"/>
  <c r="P126" i="4"/>
  <c r="O126" i="4"/>
  <c r="N124" i="4"/>
  <c r="N122" i="4" s="1"/>
  <c r="M124" i="4"/>
  <c r="M122" i="4" s="1"/>
  <c r="P122" i="4" s="1"/>
  <c r="L124" i="4"/>
  <c r="O124" i="4" s="1"/>
  <c r="P123" i="4"/>
  <c r="O123" i="4"/>
  <c r="P120" i="4"/>
  <c r="N120" i="4"/>
  <c r="M120" i="4"/>
  <c r="L120" i="4"/>
  <c r="I116" i="4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J87" i="4" s="1"/>
  <c r="I99" i="4"/>
  <c r="K99" i="4" s="1"/>
  <c r="J98" i="4"/>
  <c r="I98" i="4"/>
  <c r="I86" i="4" s="1"/>
  <c r="K86" i="4" s="1"/>
  <c r="N96" i="4"/>
  <c r="N94" i="4" s="1"/>
  <c r="M96" i="4"/>
  <c r="M94" i="4" s="1"/>
  <c r="P94" i="4" s="1"/>
  <c r="L96" i="4"/>
  <c r="O96" i="4" s="1"/>
  <c r="P95" i="4"/>
  <c r="O95" i="4"/>
  <c r="N93" i="4"/>
  <c r="N91" i="4" s="1"/>
  <c r="M93" i="4"/>
  <c r="M91" i="4" s="1"/>
  <c r="L93" i="4"/>
  <c r="P92" i="4"/>
  <c r="O92" i="4"/>
  <c r="P89" i="4"/>
  <c r="O89" i="4"/>
  <c r="N89" i="4"/>
  <c r="M89" i="4"/>
  <c r="L89" i="4"/>
  <c r="J86" i="4"/>
  <c r="I84" i="4"/>
  <c r="K84" i="4" s="1"/>
  <c r="I83" i="4"/>
  <c r="K83" i="4" s="1"/>
  <c r="I82" i="4"/>
  <c r="K82" i="4" s="1"/>
  <c r="I81" i="4"/>
  <c r="K81" i="4" s="1"/>
  <c r="I80" i="4"/>
  <c r="K80" i="4" s="1"/>
  <c r="I79" i="4"/>
  <c r="K79" i="4" s="1"/>
  <c r="I78" i="4"/>
  <c r="K78" i="4" s="1"/>
  <c r="J77" i="4"/>
  <c r="J76" i="4"/>
  <c r="N74" i="4"/>
  <c r="N72" i="4" s="1"/>
  <c r="M74" i="4"/>
  <c r="M72" i="4" s="1"/>
  <c r="P72" i="4" s="1"/>
  <c r="L74" i="4"/>
  <c r="L72" i="4" s="1"/>
  <c r="O72" i="4" s="1"/>
  <c r="P73" i="4"/>
  <c r="O73" i="4"/>
  <c r="N71" i="4"/>
  <c r="N69" i="4" s="1"/>
  <c r="M71" i="4"/>
  <c r="P71" i="4" s="1"/>
  <c r="L71" i="4"/>
  <c r="L69" i="4" s="1"/>
  <c r="O69" i="4" s="1"/>
  <c r="P70" i="4"/>
  <c r="O70" i="4"/>
  <c r="O67" i="4"/>
  <c r="N67" i="4"/>
  <c r="M67" i="4"/>
  <c r="P67" i="4" s="1"/>
  <c r="L67" i="4"/>
  <c r="J65" i="4"/>
  <c r="J64" i="4"/>
  <c r="N61" i="4"/>
  <c r="N59" i="4" s="1"/>
  <c r="M61" i="4"/>
  <c r="P61" i="4" s="1"/>
  <c r="L61" i="4"/>
  <c r="O61" i="4" s="1"/>
  <c r="P60" i="4"/>
  <c r="O60" i="4"/>
  <c r="N58" i="4"/>
  <c r="N56" i="4" s="1"/>
  <c r="M58" i="4"/>
  <c r="L58" i="4"/>
  <c r="P57" i="4"/>
  <c r="O57" i="4"/>
  <c r="P54" i="4"/>
  <c r="N54" i="4"/>
  <c r="M54" i="4"/>
  <c r="L54" i="4"/>
  <c r="O54" i="4" s="1"/>
  <c r="N49" i="4"/>
  <c r="N47" i="4" s="1"/>
  <c r="M49" i="4"/>
  <c r="L49" i="4"/>
  <c r="O49" i="4" s="1"/>
  <c r="P48" i="4"/>
  <c r="O48" i="4"/>
  <c r="N46" i="4"/>
  <c r="N44" i="4" s="1"/>
  <c r="M46" i="4"/>
  <c r="M44" i="4" s="1"/>
  <c r="L46" i="4"/>
  <c r="P45" i="4"/>
  <c r="O45" i="4"/>
  <c r="P42" i="4"/>
  <c r="O42" i="4"/>
  <c r="N42" i="4"/>
  <c r="M42" i="4"/>
  <c r="L42" i="4"/>
  <c r="N36" i="4"/>
  <c r="M36" i="4"/>
  <c r="P36" i="4" s="1"/>
  <c r="P35" i="4"/>
  <c r="N35" i="4"/>
  <c r="M35" i="4"/>
  <c r="L35" i="4"/>
  <c r="L29" i="4" s="1"/>
  <c r="N34" i="4"/>
  <c r="P32" i="4"/>
  <c r="N32" i="4"/>
  <c r="N29" i="4" s="1"/>
  <c r="M32" i="4"/>
  <c r="L32" i="4"/>
  <c r="O32" i="4" s="1"/>
  <c r="M29" i="4"/>
  <c r="P29" i="4" s="1"/>
  <c r="O25" i="4"/>
  <c r="N25" i="4"/>
  <c r="N15" i="4" s="1"/>
  <c r="M25" i="4"/>
  <c r="P25" i="4" s="1"/>
  <c r="L25" i="4"/>
  <c r="P22" i="4"/>
  <c r="N22" i="4"/>
  <c r="M22" i="4"/>
  <c r="L22" i="4"/>
  <c r="O22" i="4" s="1"/>
  <c r="N19" i="4"/>
  <c r="M15" i="4"/>
  <c r="L12" i="4"/>
  <c r="O12" i="4" s="1"/>
  <c r="J828" i="3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P809" i="3"/>
  <c r="O809" i="3"/>
  <c r="O808" i="3"/>
  <c r="N808" i="3"/>
  <c r="M808" i="3"/>
  <c r="P808" i="3" s="1"/>
  <c r="L808" i="3"/>
  <c r="N807" i="3"/>
  <c r="N805" i="3" s="1"/>
  <c r="M807" i="3"/>
  <c r="P807" i="3" s="1"/>
  <c r="L807" i="3"/>
  <c r="O807" i="3" s="1"/>
  <c r="N806" i="3"/>
  <c r="M806" i="3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L791" i="3"/>
  <c r="P790" i="3"/>
  <c r="O790" i="3"/>
  <c r="N789" i="3"/>
  <c r="M789" i="3"/>
  <c r="P789" i="3" s="1"/>
  <c r="N788" i="3"/>
  <c r="N786" i="3" s="1"/>
  <c r="M788" i="3"/>
  <c r="P788" i="3" s="1"/>
  <c r="N787" i="3"/>
  <c r="M787" i="3"/>
  <c r="L787" i="3"/>
  <c r="O787" i="3" s="1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P774" i="3"/>
  <c r="O774" i="3"/>
  <c r="P773" i="3"/>
  <c r="O773" i="3"/>
  <c r="N773" i="3"/>
  <c r="M773" i="3"/>
  <c r="L773" i="3"/>
  <c r="O772" i="3"/>
  <c r="N772" i="3"/>
  <c r="M772" i="3"/>
  <c r="P772" i="3" s="1"/>
  <c r="L772" i="3"/>
  <c r="N771" i="3"/>
  <c r="M771" i="3"/>
  <c r="P771" i="3" s="1"/>
  <c r="L771" i="3"/>
  <c r="O771" i="3" s="1"/>
  <c r="M770" i="3"/>
  <c r="P770" i="3" s="1"/>
  <c r="L770" i="3"/>
  <c r="O770" i="3" s="1"/>
  <c r="K769" i="3"/>
  <c r="J769" i="3"/>
  <c r="P766" i="3"/>
  <c r="O766" i="3"/>
  <c r="P765" i="3"/>
  <c r="O765" i="3"/>
  <c r="P764" i="3"/>
  <c r="N764" i="3"/>
  <c r="M764" i="3"/>
  <c r="L764" i="3"/>
  <c r="O764" i="3" s="1"/>
  <c r="P759" i="3"/>
  <c r="O759" i="3"/>
  <c r="N759" i="3"/>
  <c r="P758" i="3"/>
  <c r="O758" i="3"/>
  <c r="P757" i="3"/>
  <c r="O757" i="3"/>
  <c r="N757" i="3"/>
  <c r="M757" i="3"/>
  <c r="L757" i="3"/>
  <c r="O756" i="3"/>
  <c r="N756" i="3"/>
  <c r="M756" i="3"/>
  <c r="P756" i="3" s="1"/>
  <c r="L756" i="3"/>
  <c r="N755" i="3"/>
  <c r="N754" i="3" s="1"/>
  <c r="M755" i="3"/>
  <c r="P755" i="3" s="1"/>
  <c r="L755" i="3"/>
  <c r="O755" i="3" s="1"/>
  <c r="L754" i="3"/>
  <c r="O754" i="3" s="1"/>
  <c r="K753" i="3"/>
  <c r="J753" i="3"/>
  <c r="P749" i="3"/>
  <c r="O749" i="3"/>
  <c r="P748" i="3"/>
  <c r="O748" i="3"/>
  <c r="P747" i="3"/>
  <c r="N747" i="3"/>
  <c r="M747" i="3"/>
  <c r="L747" i="3"/>
  <c r="O747" i="3" s="1"/>
  <c r="P742" i="3"/>
  <c r="O742" i="3"/>
  <c r="N742" i="3"/>
  <c r="P741" i="3"/>
  <c r="O741" i="3"/>
  <c r="P740" i="3"/>
  <c r="O740" i="3"/>
  <c r="N740" i="3"/>
  <c r="M740" i="3"/>
  <c r="L740" i="3"/>
  <c r="O739" i="3"/>
  <c r="N739" i="3"/>
  <c r="M739" i="3"/>
  <c r="P739" i="3" s="1"/>
  <c r="L739" i="3"/>
  <c r="N738" i="3"/>
  <c r="N737" i="3" s="1"/>
  <c r="M738" i="3"/>
  <c r="P738" i="3" s="1"/>
  <c r="L738" i="3"/>
  <c r="O738" i="3" s="1"/>
  <c r="M737" i="3"/>
  <c r="P737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N695" i="3"/>
  <c r="M695" i="3"/>
  <c r="L695" i="3"/>
  <c r="O695" i="3" s="1"/>
  <c r="P690" i="3"/>
  <c r="N690" i="3"/>
  <c r="L690" i="3"/>
  <c r="O690" i="3" s="1"/>
  <c r="N688" i="3"/>
  <c r="M688" i="3"/>
  <c r="P688" i="3" s="1"/>
  <c r="N687" i="3"/>
  <c r="N685" i="3" s="1"/>
  <c r="M687" i="3"/>
  <c r="P687" i="3" s="1"/>
  <c r="N686" i="3"/>
  <c r="M686" i="3"/>
  <c r="L686" i="3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K669" i="3" s="1"/>
  <c r="P667" i="3"/>
  <c r="O667" i="3"/>
  <c r="P666" i="3"/>
  <c r="O666" i="3"/>
  <c r="N665" i="3"/>
  <c r="M665" i="3"/>
  <c r="P665" i="3" s="1"/>
  <c r="L665" i="3"/>
  <c r="O665" i="3" s="1"/>
  <c r="P660" i="3"/>
  <c r="N660" i="3"/>
  <c r="L660" i="3"/>
  <c r="O660" i="3" s="1"/>
  <c r="P659" i="3"/>
  <c r="O659" i="3"/>
  <c r="P658" i="3"/>
  <c r="N658" i="3"/>
  <c r="M658" i="3"/>
  <c r="P657" i="3"/>
  <c r="N657" i="3"/>
  <c r="M657" i="3"/>
  <c r="P656" i="3"/>
  <c r="O656" i="3"/>
  <c r="N656" i="3"/>
  <c r="M656" i="3"/>
  <c r="L656" i="3"/>
  <c r="N655" i="3"/>
  <c r="M655" i="3"/>
  <c r="P655" i="3" s="1"/>
  <c r="K652" i="3"/>
  <c r="J652" i="3"/>
  <c r="J651" i="3"/>
  <c r="J628" i="3" s="1"/>
  <c r="I651" i="3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N639" i="3"/>
  <c r="M639" i="3"/>
  <c r="P639" i="3" s="1"/>
  <c r="P634" i="3"/>
  <c r="N634" i="3"/>
  <c r="L634" i="3"/>
  <c r="P633" i="3"/>
  <c r="O633" i="3"/>
  <c r="M632" i="3"/>
  <c r="P632" i="3" s="1"/>
  <c r="M631" i="3"/>
  <c r="P630" i="3"/>
  <c r="N630" i="3"/>
  <c r="M630" i="3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5" i="3"/>
  <c r="J593" i="3" s="1"/>
  <c r="J592" i="3" s="1"/>
  <c r="J594" i="3"/>
  <c r="I594" i="3"/>
  <c r="K594" i="3" s="1"/>
  <c r="I593" i="3"/>
  <c r="J583" i="3"/>
  <c r="J582" i="3"/>
  <c r="J577" i="3"/>
  <c r="I577" i="3"/>
  <c r="K577" i="3" s="1"/>
  <c r="J576" i="3"/>
  <c r="I576" i="3"/>
  <c r="K576" i="3" s="1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J559" i="3"/>
  <c r="J543" i="3" s="1"/>
  <c r="P557" i="3"/>
  <c r="L557" i="3"/>
  <c r="O557" i="3" s="1"/>
  <c r="P556" i="3"/>
  <c r="O556" i="3"/>
  <c r="P555" i="3"/>
  <c r="N555" i="3"/>
  <c r="M555" i="3"/>
  <c r="L555" i="3"/>
  <c r="O555" i="3" s="1"/>
  <c r="N553" i="3"/>
  <c r="N549" i="3" s="1"/>
  <c r="L549" i="3"/>
  <c r="P548" i="3"/>
  <c r="O548" i="3"/>
  <c r="P545" i="3"/>
  <c r="O545" i="3"/>
  <c r="N545" i="3"/>
  <c r="M545" i="3"/>
  <c r="L545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I522" i="3" s="1"/>
  <c r="P535" i="3"/>
  <c r="L535" i="3"/>
  <c r="O535" i="3" s="1"/>
  <c r="P534" i="3"/>
  <c r="O534" i="3"/>
  <c r="P533" i="3"/>
  <c r="N533" i="3"/>
  <c r="M533" i="3"/>
  <c r="L533" i="3"/>
  <c r="O533" i="3" s="1"/>
  <c r="N528" i="3"/>
  <c r="N526" i="3" s="1"/>
  <c r="L528" i="3"/>
  <c r="M528" i="3" s="1"/>
  <c r="P527" i="3"/>
  <c r="O527" i="3"/>
  <c r="N525" i="3"/>
  <c r="P524" i="3"/>
  <c r="O524" i="3"/>
  <c r="N524" i="3"/>
  <c r="M524" i="3"/>
  <c r="L524" i="3"/>
  <c r="N523" i="3"/>
  <c r="K517" i="3"/>
  <c r="J517" i="3"/>
  <c r="J501" i="3" s="1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P506" i="3"/>
  <c r="O506" i="3"/>
  <c r="P505" i="3"/>
  <c r="O505" i="3"/>
  <c r="N505" i="3"/>
  <c r="M505" i="3"/>
  <c r="L505" i="3"/>
  <c r="O504" i="3"/>
  <c r="N504" i="3"/>
  <c r="M504" i="3"/>
  <c r="P504" i="3" s="1"/>
  <c r="L504" i="3"/>
  <c r="N503" i="3"/>
  <c r="M503" i="3"/>
  <c r="L503" i="3"/>
  <c r="O503" i="3" s="1"/>
  <c r="L502" i="3"/>
  <c r="O502" i="3" s="1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L477" i="3" s="1"/>
  <c r="O477" i="3" s="1"/>
  <c r="P478" i="3"/>
  <c r="O478" i="3"/>
  <c r="P477" i="3"/>
  <c r="N477" i="3"/>
  <c r="M477" i="3"/>
  <c r="N474" i="3"/>
  <c r="N472" i="3" s="1"/>
  <c r="L472" i="3"/>
  <c r="L470" i="3" s="1"/>
  <c r="P471" i="3"/>
  <c r="O471" i="3"/>
  <c r="P468" i="3"/>
  <c r="O468" i="3"/>
  <c r="N468" i="3"/>
  <c r="M468" i="3"/>
  <c r="L468" i="3"/>
  <c r="J466" i="3"/>
  <c r="I466" i="3"/>
  <c r="K466" i="3" s="1"/>
  <c r="J465" i="3"/>
  <c r="I465" i="3"/>
  <c r="K465" i="3" s="1"/>
  <c r="I464" i="3"/>
  <c r="I463" i="3"/>
  <c r="I462" i="3"/>
  <c r="I443" i="3" s="1"/>
  <c r="K443" i="3" s="1"/>
  <c r="I460" i="3"/>
  <c r="I442" i="3" s="1"/>
  <c r="K442" i="3" s="1"/>
  <c r="K458" i="3"/>
  <c r="P456" i="3"/>
  <c r="L456" i="3"/>
  <c r="L454" i="3" s="1"/>
  <c r="O454" i="3" s="1"/>
  <c r="P455" i="3"/>
  <c r="O455" i="3"/>
  <c r="N454" i="3"/>
  <c r="M454" i="3"/>
  <c r="P454" i="3" s="1"/>
  <c r="N449" i="3"/>
  <c r="L449" i="3"/>
  <c r="L446" i="3" s="1"/>
  <c r="O446" i="3" s="1"/>
  <c r="P448" i="3"/>
  <c r="O448" i="3"/>
  <c r="N447" i="3"/>
  <c r="N446" i="3"/>
  <c r="P445" i="3"/>
  <c r="N445" i="3"/>
  <c r="M445" i="3"/>
  <c r="L445" i="3"/>
  <c r="N444" i="3"/>
  <c r="J443" i="3"/>
  <c r="J442" i="3"/>
  <c r="I441" i="3"/>
  <c r="K441" i="3" s="1"/>
  <c r="I440" i="3"/>
  <c r="K440" i="3" s="1"/>
  <c r="I439" i="3"/>
  <c r="K439" i="3" s="1"/>
  <c r="I438" i="3"/>
  <c r="K438" i="3" s="1"/>
  <c r="I437" i="3"/>
  <c r="I435" i="3"/>
  <c r="K435" i="3" s="1"/>
  <c r="J434" i="3"/>
  <c r="J418" i="3" s="1"/>
  <c r="P431" i="3"/>
  <c r="L431" i="3"/>
  <c r="L429" i="3" s="1"/>
  <c r="O429" i="3" s="1"/>
  <c r="P430" i="3"/>
  <c r="O430" i="3"/>
  <c r="N429" i="3"/>
  <c r="M429" i="3"/>
  <c r="P429" i="3" s="1"/>
  <c r="N424" i="3"/>
  <c r="L424" i="3"/>
  <c r="L422" i="3" s="1"/>
  <c r="O422" i="3" s="1"/>
  <c r="P423" i="3"/>
  <c r="O423" i="3"/>
  <c r="N422" i="3"/>
  <c r="N421" i="3"/>
  <c r="N419" i="3" s="1"/>
  <c r="N420" i="3"/>
  <c r="M420" i="3"/>
  <c r="L420" i="3"/>
  <c r="O420" i="3" s="1"/>
  <c r="K413" i="3"/>
  <c r="K412" i="3"/>
  <c r="N410" i="3"/>
  <c r="N408" i="3" s="1"/>
  <c r="M410" i="3"/>
  <c r="L410" i="3"/>
  <c r="O410" i="3" s="1"/>
  <c r="P409" i="3"/>
  <c r="O409" i="3"/>
  <c r="N407" i="3"/>
  <c r="M407" i="3"/>
  <c r="P407" i="3" s="1"/>
  <c r="L407" i="3"/>
  <c r="O407" i="3" s="1"/>
  <c r="P406" i="3"/>
  <c r="O406" i="3"/>
  <c r="P403" i="3"/>
  <c r="O403" i="3"/>
  <c r="N403" i="3"/>
  <c r="M403" i="3"/>
  <c r="L403" i="3"/>
  <c r="J401" i="3"/>
  <c r="I401" i="3"/>
  <c r="K401" i="3" s="1"/>
  <c r="K400" i="3"/>
  <c r="K399" i="3"/>
  <c r="N397" i="3"/>
  <c r="N395" i="3" s="1"/>
  <c r="M397" i="3"/>
  <c r="L397" i="3"/>
  <c r="L395" i="3" s="1"/>
  <c r="O395" i="3" s="1"/>
  <c r="P396" i="3"/>
  <c r="O396" i="3"/>
  <c r="N394" i="3"/>
  <c r="M394" i="3"/>
  <c r="L394" i="3"/>
  <c r="L392" i="3" s="1"/>
  <c r="O392" i="3" s="1"/>
  <c r="P393" i="3"/>
  <c r="O393" i="3"/>
  <c r="N390" i="3"/>
  <c r="M390" i="3"/>
  <c r="L390" i="3"/>
  <c r="O390" i="3" s="1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L351" i="3" s="1"/>
  <c r="P352" i="3"/>
  <c r="O352" i="3"/>
  <c r="N350" i="3"/>
  <c r="N348" i="3" s="1"/>
  <c r="M350" i="3"/>
  <c r="L350" i="3"/>
  <c r="L348" i="3" s="1"/>
  <c r="P349" i="3"/>
  <c r="O349" i="3"/>
  <c r="N346" i="3"/>
  <c r="M346" i="3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L336" i="3"/>
  <c r="L334" i="3" s="1"/>
  <c r="O334" i="3" s="1"/>
  <c r="P335" i="3"/>
  <c r="O335" i="3"/>
  <c r="N333" i="3"/>
  <c r="N331" i="3" s="1"/>
  <c r="M333" i="3"/>
  <c r="L333" i="3"/>
  <c r="L331" i="3" s="1"/>
  <c r="P332" i="3"/>
  <c r="O332" i="3"/>
  <c r="N329" i="3"/>
  <c r="M329" i="3"/>
  <c r="L329" i="3"/>
  <c r="O329" i="3" s="1"/>
  <c r="I327" i="3"/>
  <c r="I325" i="3"/>
  <c r="K325" i="3" s="1"/>
  <c r="N323" i="3"/>
  <c r="N321" i="3" s="1"/>
  <c r="M323" i="3"/>
  <c r="M321" i="3" s="1"/>
  <c r="P321" i="3" s="1"/>
  <c r="L323" i="3"/>
  <c r="O323" i="3" s="1"/>
  <c r="P322" i="3"/>
  <c r="O322" i="3"/>
  <c r="N320" i="3"/>
  <c r="N318" i="3" s="1"/>
  <c r="M320" i="3"/>
  <c r="M318" i="3" s="1"/>
  <c r="L320" i="3"/>
  <c r="P319" i="3"/>
  <c r="O319" i="3"/>
  <c r="O316" i="3"/>
  <c r="N316" i="3"/>
  <c r="M316" i="3"/>
  <c r="P316" i="3" s="1"/>
  <c r="L316" i="3"/>
  <c r="J314" i="3"/>
  <c r="I312" i="3"/>
  <c r="K312" i="3" s="1"/>
  <c r="I311" i="3"/>
  <c r="K311" i="3" s="1"/>
  <c r="I310" i="3"/>
  <c r="K310" i="3" s="1"/>
  <c r="I309" i="3"/>
  <c r="I297" i="3" s="1"/>
  <c r="K297" i="3" s="1"/>
  <c r="N306" i="3"/>
  <c r="N304" i="3" s="1"/>
  <c r="M306" i="3"/>
  <c r="P306" i="3" s="1"/>
  <c r="L306" i="3"/>
  <c r="O306" i="3" s="1"/>
  <c r="P305" i="3"/>
  <c r="O305" i="3"/>
  <c r="N303" i="3"/>
  <c r="M303" i="3"/>
  <c r="L303" i="3"/>
  <c r="L301" i="3" s="1"/>
  <c r="P302" i="3"/>
  <c r="O302" i="3"/>
  <c r="P299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75" i="3" s="1"/>
  <c r="I287" i="3"/>
  <c r="K287" i="3" s="1"/>
  <c r="N285" i="3"/>
  <c r="N283" i="3" s="1"/>
  <c r="M285" i="3"/>
  <c r="P285" i="3" s="1"/>
  <c r="L285" i="3"/>
  <c r="O285" i="3" s="1"/>
  <c r="P284" i="3"/>
  <c r="O284" i="3"/>
  <c r="N282" i="3"/>
  <c r="M282" i="3"/>
  <c r="M280" i="3" s="1"/>
  <c r="L282" i="3"/>
  <c r="L280" i="3" s="1"/>
  <c r="P281" i="3"/>
  <c r="O281" i="3"/>
  <c r="P278" i="3"/>
  <c r="O278" i="3"/>
  <c r="N278" i="3"/>
  <c r="M278" i="3"/>
  <c r="L278" i="3"/>
  <c r="J276" i="3"/>
  <c r="I271" i="3"/>
  <c r="K271" i="3" s="1"/>
  <c r="N269" i="3"/>
  <c r="N267" i="3" s="1"/>
  <c r="M269" i="3"/>
  <c r="M267" i="3" s="1"/>
  <c r="P267" i="3" s="1"/>
  <c r="L269" i="3"/>
  <c r="O269" i="3" s="1"/>
  <c r="P268" i="3"/>
  <c r="O268" i="3"/>
  <c r="N266" i="3"/>
  <c r="N264" i="3" s="1"/>
  <c r="M266" i="3"/>
  <c r="M264" i="3" s="1"/>
  <c r="P264" i="3" s="1"/>
  <c r="L266" i="3"/>
  <c r="L264" i="3" s="1"/>
  <c r="P265" i="3"/>
  <c r="O265" i="3"/>
  <c r="P262" i="3"/>
  <c r="N262" i="3"/>
  <c r="M262" i="3"/>
  <c r="L262" i="3"/>
  <c r="O262" i="3" s="1"/>
  <c r="J260" i="3"/>
  <c r="K258" i="3"/>
  <c r="K257" i="3"/>
  <c r="I255" i="3"/>
  <c r="I248" i="3" s="1"/>
  <c r="K248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J237" i="3"/>
  <c r="K236" i="3"/>
  <c r="J236" i="3"/>
  <c r="I236" i="3"/>
  <c r="J235" i="3"/>
  <c r="I235" i="3"/>
  <c r="K235" i="3" s="1"/>
  <c r="J233" i="3"/>
  <c r="N231" i="3"/>
  <c r="N230" i="3"/>
  <c r="N229" i="3"/>
  <c r="N228" i="3"/>
  <c r="N227" i="3"/>
  <c r="J226" i="3"/>
  <c r="J180" i="3" s="1"/>
  <c r="I225" i="3"/>
  <c r="K225" i="3" s="1"/>
  <c r="I224" i="3"/>
  <c r="I216" i="3" s="1"/>
  <c r="K216" i="3" s="1"/>
  <c r="I223" i="3"/>
  <c r="K223" i="3" s="1"/>
  <c r="L220" i="3"/>
  <c r="L219" i="3"/>
  <c r="L218" i="3"/>
  <c r="P217" i="3"/>
  <c r="N217" i="3"/>
  <c r="J216" i="3"/>
  <c r="I215" i="3"/>
  <c r="I208" i="3" s="1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P189" i="3" s="1"/>
  <c r="L189" i="3"/>
  <c r="O189" i="3" s="1"/>
  <c r="P188" i="3"/>
  <c r="O188" i="3"/>
  <c r="N186" i="3"/>
  <c r="N184" i="3" s="1"/>
  <c r="M186" i="3"/>
  <c r="M184" i="3" s="1"/>
  <c r="L186" i="3"/>
  <c r="L184" i="3" s="1"/>
  <c r="P185" i="3"/>
  <c r="O185" i="3"/>
  <c r="P182" i="3"/>
  <c r="N182" i="3"/>
  <c r="M182" i="3"/>
  <c r="L182" i="3"/>
  <c r="O182" i="3" s="1"/>
  <c r="J177" i="3"/>
  <c r="I176" i="3"/>
  <c r="I174" i="3" s="1"/>
  <c r="J174" i="3"/>
  <c r="J164" i="3" s="1"/>
  <c r="N173" i="3"/>
  <c r="N171" i="3" s="1"/>
  <c r="M173" i="3"/>
  <c r="P173" i="3" s="1"/>
  <c r="L173" i="3"/>
  <c r="L171" i="3" s="1"/>
  <c r="O171" i="3" s="1"/>
  <c r="P172" i="3"/>
  <c r="O172" i="3"/>
  <c r="N170" i="3"/>
  <c r="N168" i="3" s="1"/>
  <c r="M170" i="3"/>
  <c r="P170" i="3" s="1"/>
  <c r="L170" i="3"/>
  <c r="O170" i="3" s="1"/>
  <c r="P169" i="3"/>
  <c r="O169" i="3"/>
  <c r="P166" i="3"/>
  <c r="N166" i="3"/>
  <c r="M166" i="3"/>
  <c r="L166" i="3"/>
  <c r="O166" i="3" s="1"/>
  <c r="I159" i="3"/>
  <c r="K159" i="3" s="1"/>
  <c r="N157" i="3"/>
  <c r="N155" i="3" s="1"/>
  <c r="M157" i="3"/>
  <c r="M155" i="3" s="1"/>
  <c r="P155" i="3" s="1"/>
  <c r="L157" i="3"/>
  <c r="O157" i="3" s="1"/>
  <c r="P156" i="3"/>
  <c r="O156" i="3"/>
  <c r="N154" i="3"/>
  <c r="N152" i="3" s="1"/>
  <c r="M154" i="3"/>
  <c r="M152" i="3" s="1"/>
  <c r="L154" i="3"/>
  <c r="L152" i="3" s="1"/>
  <c r="P153" i="3"/>
  <c r="O153" i="3"/>
  <c r="N150" i="3"/>
  <c r="M150" i="3"/>
  <c r="P150" i="3" s="1"/>
  <c r="L150" i="3"/>
  <c r="O150" i="3" s="1"/>
  <c r="J148" i="3"/>
  <c r="I146" i="3"/>
  <c r="K146" i="3" s="1"/>
  <c r="I145" i="3"/>
  <c r="I143" i="3" s="1"/>
  <c r="I144" i="3"/>
  <c r="K144" i="3" s="1"/>
  <c r="N140" i="3"/>
  <c r="M140" i="3"/>
  <c r="L140" i="3"/>
  <c r="L138" i="3" s="1"/>
  <c r="P139" i="3"/>
  <c r="O139" i="3"/>
  <c r="N137" i="3"/>
  <c r="M137" i="3"/>
  <c r="M135" i="3" s="1"/>
  <c r="L137" i="3"/>
  <c r="P136" i="3"/>
  <c r="O136" i="3"/>
  <c r="O133" i="3"/>
  <c r="N133" i="3"/>
  <c r="M133" i="3"/>
  <c r="P133" i="3" s="1"/>
  <c r="L133" i="3"/>
  <c r="J130" i="3"/>
  <c r="N127" i="3"/>
  <c r="N125" i="3" s="1"/>
  <c r="M127" i="3"/>
  <c r="M125" i="3" s="1"/>
  <c r="P125" i="3" s="1"/>
  <c r="L127" i="3"/>
  <c r="O127" i="3" s="1"/>
  <c r="P126" i="3"/>
  <c r="O126" i="3"/>
  <c r="N124" i="3"/>
  <c r="N122" i="3" s="1"/>
  <c r="M124" i="3"/>
  <c r="L124" i="3"/>
  <c r="O124" i="3" s="1"/>
  <c r="P123" i="3"/>
  <c r="O123" i="3"/>
  <c r="O120" i="3"/>
  <c r="N120" i="3"/>
  <c r="M120" i="3"/>
  <c r="P120" i="3" s="1"/>
  <c r="L120" i="3"/>
  <c r="K118" i="3"/>
  <c r="J118" i="3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K99" i="3" s="1"/>
  <c r="J98" i="3"/>
  <c r="I98" i="3"/>
  <c r="N96" i="3"/>
  <c r="M96" i="3"/>
  <c r="M94" i="3" s="1"/>
  <c r="P94" i="3" s="1"/>
  <c r="L96" i="3"/>
  <c r="L94" i="3" s="1"/>
  <c r="O94" i="3" s="1"/>
  <c r="P95" i="3"/>
  <c r="O95" i="3"/>
  <c r="N93" i="3"/>
  <c r="N91" i="3" s="1"/>
  <c r="M93" i="3"/>
  <c r="M91" i="3" s="1"/>
  <c r="L93" i="3"/>
  <c r="P92" i="3"/>
  <c r="O92" i="3"/>
  <c r="P89" i="3"/>
  <c r="O89" i="3"/>
  <c r="N89" i="3"/>
  <c r="M89" i="3"/>
  <c r="L89" i="3"/>
  <c r="J86" i="3"/>
  <c r="I84" i="3"/>
  <c r="K84" i="3" s="1"/>
  <c r="I83" i="3"/>
  <c r="K83" i="3" s="1"/>
  <c r="I82" i="3"/>
  <c r="K82" i="3" s="1"/>
  <c r="I81" i="3"/>
  <c r="K81" i="3" s="1"/>
  <c r="I80" i="3"/>
  <c r="I79" i="3"/>
  <c r="I78" i="3"/>
  <c r="K78" i="3" s="1"/>
  <c r="J77" i="3"/>
  <c r="J65" i="3" s="1"/>
  <c r="J76" i="3"/>
  <c r="N74" i="3"/>
  <c r="N72" i="3" s="1"/>
  <c r="M74" i="3"/>
  <c r="M72" i="3" s="1"/>
  <c r="P72" i="3" s="1"/>
  <c r="L74" i="3"/>
  <c r="L72" i="3" s="1"/>
  <c r="O72" i="3" s="1"/>
  <c r="P73" i="3"/>
  <c r="O73" i="3"/>
  <c r="N71" i="3"/>
  <c r="N69" i="3" s="1"/>
  <c r="M71" i="3"/>
  <c r="M69" i="3" s="1"/>
  <c r="L71" i="3"/>
  <c r="L69" i="3" s="1"/>
  <c r="P70" i="3"/>
  <c r="O70" i="3"/>
  <c r="O67" i="3"/>
  <c r="N67" i="3"/>
  <c r="M67" i="3"/>
  <c r="P67" i="3" s="1"/>
  <c r="L67" i="3"/>
  <c r="J64" i="3"/>
  <c r="N61" i="3"/>
  <c r="M61" i="3"/>
  <c r="M59" i="3" s="1"/>
  <c r="L61" i="3"/>
  <c r="L59" i="3" s="1"/>
  <c r="P60" i="3"/>
  <c r="O60" i="3"/>
  <c r="N58" i="3"/>
  <c r="N56" i="3" s="1"/>
  <c r="M58" i="3"/>
  <c r="L58" i="3"/>
  <c r="L56" i="3" s="1"/>
  <c r="P57" i="3"/>
  <c r="O57" i="3"/>
  <c r="P54" i="3"/>
  <c r="O54" i="3"/>
  <c r="N54" i="3"/>
  <c r="M54" i="3"/>
  <c r="L54" i="3"/>
  <c r="N49" i="3"/>
  <c r="N47" i="3" s="1"/>
  <c r="M49" i="3"/>
  <c r="P49" i="3" s="1"/>
  <c r="L49" i="3"/>
  <c r="L47" i="3" s="1"/>
  <c r="O47" i="3" s="1"/>
  <c r="P48" i="3"/>
  <c r="O48" i="3"/>
  <c r="N46" i="3"/>
  <c r="N44" i="3" s="1"/>
  <c r="M46" i="3"/>
  <c r="M44" i="3" s="1"/>
  <c r="L46" i="3"/>
  <c r="L44" i="3" s="1"/>
  <c r="P45" i="3"/>
  <c r="O45" i="3"/>
  <c r="N42" i="3"/>
  <c r="M42" i="3"/>
  <c r="P42" i="3" s="1"/>
  <c r="L42" i="3"/>
  <c r="O42" i="3" s="1"/>
  <c r="P36" i="3"/>
  <c r="N36" i="3"/>
  <c r="M36" i="3"/>
  <c r="O35" i="3"/>
  <c r="N35" i="3"/>
  <c r="N15" i="3" s="1"/>
  <c r="M35" i="3"/>
  <c r="M15" i="3" s="1"/>
  <c r="L35" i="3"/>
  <c r="P32" i="3"/>
  <c r="N32" i="3"/>
  <c r="M32" i="3"/>
  <c r="M29" i="3" s="1"/>
  <c r="L32" i="3"/>
  <c r="P25" i="3"/>
  <c r="N25" i="3"/>
  <c r="M25" i="3"/>
  <c r="L25" i="3"/>
  <c r="O25" i="3" s="1"/>
  <c r="P22" i="3"/>
  <c r="O22" i="3"/>
  <c r="N22" i="3"/>
  <c r="N19" i="3" s="1"/>
  <c r="M22" i="3"/>
  <c r="L22" i="3"/>
  <c r="M19" i="3"/>
  <c r="P19" i="3" s="1"/>
  <c r="L19" i="3"/>
  <c r="O19" i="3" s="1"/>
  <c r="O15" i="3"/>
  <c r="L15" i="3"/>
  <c r="M12" i="3"/>
  <c r="P12" i="3" s="1"/>
  <c r="L12" i="3"/>
  <c r="O12" i="3" s="1"/>
  <c r="J828" i="2"/>
  <c r="I828" i="2"/>
  <c r="J827" i="2"/>
  <c r="I827" i="2"/>
  <c r="J826" i="2"/>
  <c r="I826" i="2"/>
  <c r="K826" i="2" s="1"/>
  <c r="J825" i="2"/>
  <c r="I825" i="2"/>
  <c r="K825" i="2" s="1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N805" i="2" s="1"/>
  <c r="P809" i="2"/>
  <c r="O809" i="2"/>
  <c r="N808" i="2"/>
  <c r="M808" i="2"/>
  <c r="P808" i="2" s="1"/>
  <c r="L808" i="2"/>
  <c r="O808" i="2" s="1"/>
  <c r="M807" i="2"/>
  <c r="P807" i="2" s="1"/>
  <c r="L807" i="2"/>
  <c r="O807" i="2" s="1"/>
  <c r="P806" i="2"/>
  <c r="N806" i="2"/>
  <c r="M806" i="2"/>
  <c r="M805" i="2" s="1"/>
  <c r="P805" i="2" s="1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N786" i="2" s="1"/>
  <c r="L791" i="2"/>
  <c r="O791" i="2" s="1"/>
  <c r="P790" i="2"/>
  <c r="O790" i="2"/>
  <c r="N789" i="2"/>
  <c r="M789" i="2"/>
  <c r="P789" i="2" s="1"/>
  <c r="M788" i="2"/>
  <c r="P788" i="2" s="1"/>
  <c r="P787" i="2"/>
  <c r="N787" i="2"/>
  <c r="M787" i="2"/>
  <c r="L787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N773" i="2" s="1"/>
  <c r="P774" i="2"/>
  <c r="O774" i="2"/>
  <c r="O773" i="2"/>
  <c r="M773" i="2"/>
  <c r="P773" i="2" s="1"/>
  <c r="L773" i="2"/>
  <c r="N772" i="2"/>
  <c r="N770" i="2" s="1"/>
  <c r="M772" i="2"/>
  <c r="P772" i="2" s="1"/>
  <c r="L772" i="2"/>
  <c r="O772" i="2" s="1"/>
  <c r="N771" i="2"/>
  <c r="M771" i="2"/>
  <c r="L771" i="2"/>
  <c r="O771" i="2" s="1"/>
  <c r="L770" i="2"/>
  <c r="O770" i="2" s="1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N757" i="2" s="1"/>
  <c r="P758" i="2"/>
  <c r="O758" i="2"/>
  <c r="O757" i="2"/>
  <c r="M757" i="2"/>
  <c r="P757" i="2" s="1"/>
  <c r="L757" i="2"/>
  <c r="N756" i="2"/>
  <c r="N754" i="2" s="1"/>
  <c r="M756" i="2"/>
  <c r="P756" i="2" s="1"/>
  <c r="L756" i="2"/>
  <c r="O756" i="2" s="1"/>
  <c r="N755" i="2"/>
  <c r="M755" i="2"/>
  <c r="L755" i="2"/>
  <c r="O755" i="2" s="1"/>
  <c r="L754" i="2"/>
  <c r="O754" i="2" s="1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N740" i="2" s="1"/>
  <c r="P741" i="2"/>
  <c r="O741" i="2"/>
  <c r="O740" i="2"/>
  <c r="M740" i="2"/>
  <c r="P740" i="2" s="1"/>
  <c r="L740" i="2"/>
  <c r="N739" i="2"/>
  <c r="N737" i="2" s="1"/>
  <c r="M739" i="2"/>
  <c r="P739" i="2" s="1"/>
  <c r="L739" i="2"/>
  <c r="O739" i="2" s="1"/>
  <c r="N738" i="2"/>
  <c r="M738" i="2"/>
  <c r="L738" i="2"/>
  <c r="O738" i="2" s="1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K725" i="2" s="1"/>
  <c r="J724" i="2"/>
  <c r="J723" i="2"/>
  <c r="I723" i="2"/>
  <c r="K723" i="2" s="1"/>
  <c r="I722" i="2"/>
  <c r="K722" i="2" s="1"/>
  <c r="I721" i="2"/>
  <c r="K721" i="2" s="1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P690" i="2"/>
  <c r="N690" i="2"/>
  <c r="N687" i="2" s="1"/>
  <c r="N685" i="2" s="1"/>
  <c r="L690" i="2"/>
  <c r="O690" i="2" s="1"/>
  <c r="N688" i="2"/>
  <c r="M688" i="2"/>
  <c r="P688" i="2" s="1"/>
  <c r="M687" i="2"/>
  <c r="P686" i="2"/>
  <c r="N686" i="2"/>
  <c r="M686" i="2"/>
  <c r="L686" i="2"/>
  <c r="J679" i="2"/>
  <c r="J678" i="2" s="1"/>
  <c r="I678" i="2"/>
  <c r="K678" i="2" s="1"/>
  <c r="J675" i="2"/>
  <c r="I671" i="2"/>
  <c r="K671" i="2" s="1"/>
  <c r="I670" i="2"/>
  <c r="K670" i="2" s="1"/>
  <c r="J669" i="2"/>
  <c r="J654" i="2" s="1"/>
  <c r="I669" i="2"/>
  <c r="K673" i="2" s="1"/>
  <c r="P667" i="2"/>
  <c r="O667" i="2"/>
  <c r="P666" i="2"/>
  <c r="O666" i="2"/>
  <c r="P665" i="2"/>
  <c r="N665" i="2"/>
  <c r="M665" i="2"/>
  <c r="L665" i="2"/>
  <c r="O665" i="2" s="1"/>
  <c r="P660" i="2"/>
  <c r="N660" i="2"/>
  <c r="L660" i="2"/>
  <c r="O660" i="2" s="1"/>
  <c r="P659" i="2"/>
  <c r="O659" i="2"/>
  <c r="P658" i="2"/>
  <c r="N658" i="2"/>
  <c r="M658" i="2"/>
  <c r="P657" i="2"/>
  <c r="N657" i="2"/>
  <c r="M657" i="2"/>
  <c r="O656" i="2"/>
  <c r="N656" i="2"/>
  <c r="M656" i="2"/>
  <c r="M655" i="2" s="1"/>
  <c r="P655" i="2" s="1"/>
  <c r="L656" i="2"/>
  <c r="N655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N639" i="2"/>
  <c r="M639" i="2"/>
  <c r="P639" i="2" s="1"/>
  <c r="N634" i="2"/>
  <c r="L634" i="2"/>
  <c r="O634" i="2" s="1"/>
  <c r="P633" i="2"/>
  <c r="O633" i="2"/>
  <c r="N632" i="2"/>
  <c r="N631" i="2"/>
  <c r="P630" i="2"/>
  <c r="N630" i="2"/>
  <c r="M630" i="2"/>
  <c r="L630" i="2"/>
  <c r="N629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3" i="2" s="1"/>
  <c r="J592" i="2" s="1"/>
  <c r="J594" i="2"/>
  <c r="I594" i="2"/>
  <c r="K594" i="2" s="1"/>
  <c r="I593" i="2"/>
  <c r="J583" i="2"/>
  <c r="J582" i="2"/>
  <c r="J577" i="2"/>
  <c r="I577" i="2"/>
  <c r="K577" i="2" s="1"/>
  <c r="J576" i="2"/>
  <c r="I576" i="2"/>
  <c r="K576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J559" i="2"/>
  <c r="J543" i="2" s="1"/>
  <c r="P557" i="2"/>
  <c r="L557" i="2"/>
  <c r="O557" i="2" s="1"/>
  <c r="P556" i="2"/>
  <c r="O556" i="2"/>
  <c r="P555" i="2"/>
  <c r="N555" i="2"/>
  <c r="M555" i="2"/>
  <c r="L555" i="2"/>
  <c r="O555" i="2" s="1"/>
  <c r="N549" i="2"/>
  <c r="L549" i="2"/>
  <c r="P548" i="2"/>
  <c r="O548" i="2"/>
  <c r="N546" i="2"/>
  <c r="P545" i="2"/>
  <c r="O545" i="2"/>
  <c r="N545" i="2"/>
  <c r="N544" i="2" s="1"/>
  <c r="M545" i="2"/>
  <c r="L545" i="2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P535" i="2"/>
  <c r="L535" i="2"/>
  <c r="L533" i="2" s="1"/>
  <c r="O533" i="2" s="1"/>
  <c r="P534" i="2"/>
  <c r="O534" i="2"/>
  <c r="P533" i="2"/>
  <c r="N533" i="2"/>
  <c r="M533" i="2"/>
  <c r="N528" i="2"/>
  <c r="L528" i="2"/>
  <c r="M528" i="2" s="1"/>
  <c r="P527" i="2"/>
  <c r="O527" i="2"/>
  <c r="N525" i="2"/>
  <c r="O524" i="2"/>
  <c r="N524" i="2"/>
  <c r="M524" i="2"/>
  <c r="L524" i="2"/>
  <c r="N523" i="2"/>
  <c r="N414" i="2" s="1"/>
  <c r="K517" i="2"/>
  <c r="J517" i="2"/>
  <c r="K516" i="2"/>
  <c r="P514" i="2"/>
  <c r="O514" i="2"/>
  <c r="P513" i="2"/>
  <c r="O513" i="2"/>
  <c r="P512" i="2"/>
  <c r="O512" i="2"/>
  <c r="N512" i="2"/>
  <c r="M512" i="2"/>
  <c r="L512" i="2"/>
  <c r="P507" i="2"/>
  <c r="O507" i="2"/>
  <c r="N507" i="2"/>
  <c r="N505" i="2" s="1"/>
  <c r="P506" i="2"/>
  <c r="O506" i="2"/>
  <c r="O505" i="2"/>
  <c r="M505" i="2"/>
  <c r="P505" i="2" s="1"/>
  <c r="L505" i="2"/>
  <c r="N504" i="2"/>
  <c r="N502" i="2" s="1"/>
  <c r="M504" i="2"/>
  <c r="P504" i="2" s="1"/>
  <c r="L504" i="2"/>
  <c r="O504" i="2" s="1"/>
  <c r="N503" i="2"/>
  <c r="M503" i="2"/>
  <c r="L503" i="2"/>
  <c r="O503" i="2" s="1"/>
  <c r="L502" i="2"/>
  <c r="O502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L477" i="2" s="1"/>
  <c r="O477" i="2" s="1"/>
  <c r="P478" i="2"/>
  <c r="O478" i="2"/>
  <c r="P477" i="2"/>
  <c r="N477" i="2"/>
  <c r="M477" i="2"/>
  <c r="N472" i="2"/>
  <c r="L472" i="2"/>
  <c r="P471" i="2"/>
  <c r="O471" i="2"/>
  <c r="N470" i="2"/>
  <c r="N469" i="2"/>
  <c r="N468" i="2"/>
  <c r="N467" i="2" s="1"/>
  <c r="M468" i="2"/>
  <c r="P468" i="2" s="1"/>
  <c r="L468" i="2"/>
  <c r="J466" i="2"/>
  <c r="I466" i="2"/>
  <c r="K466" i="2" s="1"/>
  <c r="J465" i="2"/>
  <c r="I465" i="2"/>
  <c r="I464" i="2"/>
  <c r="I463" i="2"/>
  <c r="I462" i="2"/>
  <c r="K462" i="2" s="1"/>
  <c r="I460" i="2"/>
  <c r="I442" i="2" s="1"/>
  <c r="K442" i="2" s="1"/>
  <c r="K458" i="2"/>
  <c r="P456" i="2"/>
  <c r="L456" i="2"/>
  <c r="O456" i="2" s="1"/>
  <c r="P455" i="2"/>
  <c r="O455" i="2"/>
  <c r="P454" i="2"/>
  <c r="N454" i="2"/>
  <c r="M454" i="2"/>
  <c r="P449" i="2"/>
  <c r="N449" i="2"/>
  <c r="L449" i="2"/>
  <c r="O449" i="2" s="1"/>
  <c r="P448" i="2"/>
  <c r="O448" i="2"/>
  <c r="P447" i="2"/>
  <c r="N447" i="2"/>
  <c r="M447" i="2"/>
  <c r="P446" i="2"/>
  <c r="N446" i="2"/>
  <c r="M446" i="2"/>
  <c r="O445" i="2"/>
  <c r="N445" i="2"/>
  <c r="M445" i="2"/>
  <c r="M444" i="2" s="1"/>
  <c r="P444" i="2" s="1"/>
  <c r="L445" i="2"/>
  <c r="N444" i="2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K435" i="2" s="1"/>
  <c r="J434" i="2"/>
  <c r="P431" i="2"/>
  <c r="L431" i="2"/>
  <c r="O431" i="2" s="1"/>
  <c r="P430" i="2"/>
  <c r="O430" i="2"/>
  <c r="P429" i="2"/>
  <c r="N429" i="2"/>
  <c r="M429" i="2"/>
  <c r="N424" i="2"/>
  <c r="L424" i="2"/>
  <c r="P423" i="2"/>
  <c r="O423" i="2"/>
  <c r="N421" i="2"/>
  <c r="P420" i="2"/>
  <c r="O420" i="2"/>
  <c r="N420" i="2"/>
  <c r="N419" i="2" s="1"/>
  <c r="M420" i="2"/>
  <c r="L420" i="2"/>
  <c r="J418" i="2"/>
  <c r="K413" i="2"/>
  <c r="K412" i="2"/>
  <c r="N410" i="2"/>
  <c r="N408" i="2" s="1"/>
  <c r="M410" i="2"/>
  <c r="M408" i="2" s="1"/>
  <c r="L410" i="2"/>
  <c r="L408" i="2" s="1"/>
  <c r="P409" i="2"/>
  <c r="O409" i="2"/>
  <c r="N407" i="2"/>
  <c r="M407" i="2"/>
  <c r="M405" i="2" s="1"/>
  <c r="P405" i="2" s="1"/>
  <c r="L407" i="2"/>
  <c r="L405" i="2" s="1"/>
  <c r="O405" i="2" s="1"/>
  <c r="P406" i="2"/>
  <c r="O406" i="2"/>
  <c r="N403" i="2"/>
  <c r="M403" i="2"/>
  <c r="P403" i="2" s="1"/>
  <c r="L403" i="2"/>
  <c r="K401" i="2"/>
  <c r="J401" i="2"/>
  <c r="I401" i="2"/>
  <c r="K400" i="2"/>
  <c r="K399" i="2"/>
  <c r="N397" i="2"/>
  <c r="M397" i="2"/>
  <c r="M395" i="2" s="1"/>
  <c r="L397" i="2"/>
  <c r="L395" i="2" s="1"/>
  <c r="P396" i="2"/>
  <c r="O396" i="2"/>
  <c r="N394" i="2"/>
  <c r="N392" i="2" s="1"/>
  <c r="M394" i="2"/>
  <c r="P394" i="2" s="1"/>
  <c r="L394" i="2"/>
  <c r="O394" i="2" s="1"/>
  <c r="P393" i="2"/>
  <c r="O393" i="2"/>
  <c r="P390" i="2"/>
  <c r="O390" i="2"/>
  <c r="N390" i="2"/>
  <c r="M390" i="2"/>
  <c r="L390" i="2"/>
  <c r="J388" i="2"/>
  <c r="I388" i="2"/>
  <c r="K388" i="2" s="1"/>
  <c r="J385" i="2"/>
  <c r="I385" i="2"/>
  <c r="K382" i="2"/>
  <c r="J382" i="2"/>
  <c r="J381" i="2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M351" i="2" s="1"/>
  <c r="L353" i="2"/>
  <c r="L351" i="2" s="1"/>
  <c r="P352" i="2"/>
  <c r="O352" i="2"/>
  <c r="N350" i="2"/>
  <c r="M350" i="2"/>
  <c r="M348" i="2" s="1"/>
  <c r="L350" i="2"/>
  <c r="P349" i="2"/>
  <c r="O349" i="2"/>
  <c r="P346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L334" i="2" s="1"/>
  <c r="O334" i="2" s="1"/>
  <c r="P335" i="2"/>
  <c r="O335" i="2"/>
  <c r="N333" i="2"/>
  <c r="M333" i="2"/>
  <c r="M331" i="2" s="1"/>
  <c r="L333" i="2"/>
  <c r="P332" i="2"/>
  <c r="O332" i="2"/>
  <c r="P329" i="2"/>
  <c r="O329" i="2"/>
  <c r="N329" i="2"/>
  <c r="M329" i="2"/>
  <c r="L329" i="2"/>
  <c r="I327" i="2"/>
  <c r="I325" i="2"/>
  <c r="K325" i="2" s="1"/>
  <c r="N323" i="2"/>
  <c r="N321" i="2" s="1"/>
  <c r="M323" i="2"/>
  <c r="L323" i="2"/>
  <c r="L321" i="2" s="1"/>
  <c r="P322" i="2"/>
  <c r="O322" i="2"/>
  <c r="N320" i="2"/>
  <c r="N318" i="2" s="1"/>
  <c r="M320" i="2"/>
  <c r="L320" i="2"/>
  <c r="P319" i="2"/>
  <c r="O319" i="2"/>
  <c r="P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K309" i="2" s="1"/>
  <c r="N306" i="2"/>
  <c r="M306" i="2"/>
  <c r="M304" i="2" s="1"/>
  <c r="P304" i="2" s="1"/>
  <c r="L306" i="2"/>
  <c r="L304" i="2" s="1"/>
  <c r="O304" i="2" s="1"/>
  <c r="P305" i="2"/>
  <c r="O305" i="2"/>
  <c r="N303" i="2"/>
  <c r="N301" i="2" s="1"/>
  <c r="M303" i="2"/>
  <c r="M301" i="2" s="1"/>
  <c r="P301" i="2" s="1"/>
  <c r="L303" i="2"/>
  <c r="L301" i="2" s="1"/>
  <c r="O301" i="2" s="1"/>
  <c r="P302" i="2"/>
  <c r="O302" i="2"/>
  <c r="N299" i="2"/>
  <c r="M299" i="2"/>
  <c r="P299" i="2" s="1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75" i="2" s="1"/>
  <c r="I287" i="2"/>
  <c r="K287" i="2" s="1"/>
  <c r="N285" i="2"/>
  <c r="N283" i="2" s="1"/>
  <c r="M285" i="2"/>
  <c r="M283" i="2" s="1"/>
  <c r="P283" i="2" s="1"/>
  <c r="L285" i="2"/>
  <c r="L283" i="2" s="1"/>
  <c r="O283" i="2" s="1"/>
  <c r="P284" i="2"/>
  <c r="O284" i="2"/>
  <c r="N282" i="2"/>
  <c r="M282" i="2"/>
  <c r="M280" i="2" s="1"/>
  <c r="L282" i="2"/>
  <c r="L280" i="2" s="1"/>
  <c r="P281" i="2"/>
  <c r="O281" i="2"/>
  <c r="O278" i="2"/>
  <c r="N278" i="2"/>
  <c r="M278" i="2"/>
  <c r="L278" i="2"/>
  <c r="J276" i="2"/>
  <c r="I271" i="2"/>
  <c r="I260" i="2" s="1"/>
  <c r="K260" i="2" s="1"/>
  <c r="N269" i="2"/>
  <c r="N267" i="2" s="1"/>
  <c r="M269" i="2"/>
  <c r="P269" i="2" s="1"/>
  <c r="L269" i="2"/>
  <c r="O269" i="2" s="1"/>
  <c r="P268" i="2"/>
  <c r="O268" i="2"/>
  <c r="N266" i="2"/>
  <c r="M266" i="2"/>
  <c r="M264" i="2" s="1"/>
  <c r="P264" i="2" s="1"/>
  <c r="L266" i="2"/>
  <c r="L264" i="2" s="1"/>
  <c r="P265" i="2"/>
  <c r="O265" i="2"/>
  <c r="P262" i="2"/>
  <c r="O262" i="2"/>
  <c r="N262" i="2"/>
  <c r="M262" i="2"/>
  <c r="L262" i="2"/>
  <c r="J260" i="2"/>
  <c r="K258" i="2"/>
  <c r="K257" i="2"/>
  <c r="I255" i="2"/>
  <c r="I248" i="2" s="1"/>
  <c r="K248" i="2" s="1"/>
  <c r="L253" i="2"/>
  <c r="L252" i="2"/>
  <c r="L251" i="2"/>
  <c r="L250" i="2"/>
  <c r="P249" i="2"/>
  <c r="N249" i="2"/>
  <c r="J248" i="2"/>
  <c r="K247" i="2"/>
  <c r="K246" i="2"/>
  <c r="I244" i="2"/>
  <c r="I237" i="2" s="1"/>
  <c r="L242" i="2"/>
  <c r="L241" i="2"/>
  <c r="L240" i="2"/>
  <c r="L239" i="2"/>
  <c r="P238" i="2"/>
  <c r="N238" i="2"/>
  <c r="J237" i="2"/>
  <c r="J236" i="2"/>
  <c r="I236" i="2"/>
  <c r="K236" i="2" s="1"/>
  <c r="J235" i="2"/>
  <c r="I235" i="2"/>
  <c r="K235" i="2" s="1"/>
  <c r="J233" i="2"/>
  <c r="N231" i="2"/>
  <c r="N230" i="2"/>
  <c r="N229" i="2"/>
  <c r="N228" i="2"/>
  <c r="N227" i="2"/>
  <c r="J226" i="2"/>
  <c r="I225" i="2"/>
  <c r="I224" i="2"/>
  <c r="K224" i="2" s="1"/>
  <c r="I223" i="2"/>
  <c r="K223" i="2" s="1"/>
  <c r="L220" i="2"/>
  <c r="L219" i="2"/>
  <c r="L218" i="2"/>
  <c r="P217" i="2"/>
  <c r="N217" i="2"/>
  <c r="J216" i="2"/>
  <c r="I215" i="2"/>
  <c r="I208" i="2" s="1"/>
  <c r="K208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M189" i="2"/>
  <c r="P189" i="2" s="1"/>
  <c r="L189" i="2"/>
  <c r="L187" i="2" s="1"/>
  <c r="O187" i="2" s="1"/>
  <c r="P188" i="2"/>
  <c r="O188" i="2"/>
  <c r="N186" i="2"/>
  <c r="M186" i="2"/>
  <c r="L186" i="2"/>
  <c r="L184" i="2" s="1"/>
  <c r="P185" i="2"/>
  <c r="O185" i="2"/>
  <c r="N182" i="2"/>
  <c r="M182" i="2"/>
  <c r="P182" i="2" s="1"/>
  <c r="L182" i="2"/>
  <c r="J180" i="2"/>
  <c r="J177" i="2"/>
  <c r="I176" i="2"/>
  <c r="I174" i="2" s="1"/>
  <c r="I164" i="2" s="1"/>
  <c r="K164" i="2" s="1"/>
  <c r="J174" i="2"/>
  <c r="J164" i="2" s="1"/>
  <c r="N173" i="2"/>
  <c r="M173" i="2"/>
  <c r="P173" i="2" s="1"/>
  <c r="L173" i="2"/>
  <c r="L171" i="2" s="1"/>
  <c r="O171" i="2" s="1"/>
  <c r="P172" i="2"/>
  <c r="O172" i="2"/>
  <c r="N170" i="2"/>
  <c r="N168" i="2" s="1"/>
  <c r="M170" i="2"/>
  <c r="P170" i="2" s="1"/>
  <c r="L170" i="2"/>
  <c r="L168" i="2" s="1"/>
  <c r="O168" i="2" s="1"/>
  <c r="P169" i="2"/>
  <c r="O169" i="2"/>
  <c r="N166" i="2"/>
  <c r="M166" i="2"/>
  <c r="P166" i="2" s="1"/>
  <c r="L166" i="2"/>
  <c r="I159" i="2"/>
  <c r="K159" i="2" s="1"/>
  <c r="N157" i="2"/>
  <c r="N155" i="2" s="1"/>
  <c r="M157" i="2"/>
  <c r="M155" i="2" s="1"/>
  <c r="P155" i="2" s="1"/>
  <c r="L157" i="2"/>
  <c r="O157" i="2" s="1"/>
  <c r="P156" i="2"/>
  <c r="O156" i="2"/>
  <c r="N154" i="2"/>
  <c r="M154" i="2"/>
  <c r="M152" i="2" s="1"/>
  <c r="L154" i="2"/>
  <c r="P153" i="2"/>
  <c r="O153" i="2"/>
  <c r="P150" i="2"/>
  <c r="O150" i="2"/>
  <c r="N150" i="2"/>
  <c r="M150" i="2"/>
  <c r="L150" i="2"/>
  <c r="J148" i="2"/>
  <c r="I146" i="2"/>
  <c r="K146" i="2" s="1"/>
  <c r="I145" i="2"/>
  <c r="I143" i="2" s="1"/>
  <c r="K143" i="2" s="1"/>
  <c r="I144" i="2"/>
  <c r="K144" i="2" s="1"/>
  <c r="N140" i="2"/>
  <c r="N138" i="2" s="1"/>
  <c r="M140" i="2"/>
  <c r="P140" i="2" s="1"/>
  <c r="L140" i="2"/>
  <c r="O140" i="2" s="1"/>
  <c r="P139" i="2"/>
  <c r="O139" i="2"/>
  <c r="N137" i="2"/>
  <c r="N135" i="2" s="1"/>
  <c r="M137" i="2"/>
  <c r="P137" i="2" s="1"/>
  <c r="L137" i="2"/>
  <c r="O137" i="2" s="1"/>
  <c r="P136" i="2"/>
  <c r="O136" i="2"/>
  <c r="N133" i="2"/>
  <c r="M133" i="2"/>
  <c r="L133" i="2"/>
  <c r="O133" i="2" s="1"/>
  <c r="J130" i="2"/>
  <c r="N127" i="2"/>
  <c r="N125" i="2" s="1"/>
  <c r="M127" i="2"/>
  <c r="M125" i="2" s="1"/>
  <c r="P125" i="2" s="1"/>
  <c r="L127" i="2"/>
  <c r="L125" i="2" s="1"/>
  <c r="O125" i="2" s="1"/>
  <c r="P126" i="2"/>
  <c r="O126" i="2"/>
  <c r="N124" i="2"/>
  <c r="N122" i="2" s="1"/>
  <c r="M124" i="2"/>
  <c r="M122" i="2" s="1"/>
  <c r="P122" i="2" s="1"/>
  <c r="L124" i="2"/>
  <c r="O124" i="2" s="1"/>
  <c r="P123" i="2"/>
  <c r="O123" i="2"/>
  <c r="O120" i="2"/>
  <c r="N120" i="2"/>
  <c r="M120" i="2"/>
  <c r="P120" i="2" s="1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J87" i="2" s="1"/>
  <c r="I99" i="2"/>
  <c r="I87" i="2" s="1"/>
  <c r="J98" i="2"/>
  <c r="I98" i="2"/>
  <c r="I86" i="2" s="1"/>
  <c r="N96" i="2"/>
  <c r="N94" i="2" s="1"/>
  <c r="M96" i="2"/>
  <c r="P96" i="2" s="1"/>
  <c r="L96" i="2"/>
  <c r="L94" i="2" s="1"/>
  <c r="O94" i="2" s="1"/>
  <c r="P95" i="2"/>
  <c r="O95" i="2"/>
  <c r="N93" i="2"/>
  <c r="M93" i="2"/>
  <c r="M91" i="2" s="1"/>
  <c r="L93" i="2"/>
  <c r="L91" i="2" s="1"/>
  <c r="P92" i="2"/>
  <c r="O92" i="2"/>
  <c r="N89" i="2"/>
  <c r="M89" i="2"/>
  <c r="P89" i="2" s="1"/>
  <c r="L89" i="2"/>
  <c r="J86" i="2"/>
  <c r="I84" i="2"/>
  <c r="K84" i="2" s="1"/>
  <c r="I83" i="2"/>
  <c r="K83" i="2" s="1"/>
  <c r="I82" i="2"/>
  <c r="K82" i="2" s="1"/>
  <c r="I81" i="2"/>
  <c r="K81" i="2" s="1"/>
  <c r="I80" i="2"/>
  <c r="K80" i="2" s="1"/>
  <c r="I79" i="2"/>
  <c r="K79" i="2" s="1"/>
  <c r="I78" i="2"/>
  <c r="K78" i="2" s="1"/>
  <c r="J77" i="2"/>
  <c r="J76" i="2"/>
  <c r="J64" i="2" s="1"/>
  <c r="N74" i="2"/>
  <c r="N72" i="2" s="1"/>
  <c r="M74" i="2"/>
  <c r="P74" i="2" s="1"/>
  <c r="L74" i="2"/>
  <c r="O74" i="2" s="1"/>
  <c r="P73" i="2"/>
  <c r="O73" i="2"/>
  <c r="N71" i="2"/>
  <c r="N69" i="2" s="1"/>
  <c r="M71" i="2"/>
  <c r="L71" i="2"/>
  <c r="L69" i="2" s="1"/>
  <c r="P70" i="2"/>
  <c r="O70" i="2"/>
  <c r="P67" i="2"/>
  <c r="N67" i="2"/>
  <c r="M67" i="2"/>
  <c r="L67" i="2"/>
  <c r="O67" i="2" s="1"/>
  <c r="J65" i="2"/>
  <c r="N61" i="2"/>
  <c r="N59" i="2" s="1"/>
  <c r="M61" i="2"/>
  <c r="M59" i="2" s="1"/>
  <c r="P59" i="2" s="1"/>
  <c r="L61" i="2"/>
  <c r="O61" i="2" s="1"/>
  <c r="P60" i="2"/>
  <c r="O60" i="2"/>
  <c r="N58" i="2"/>
  <c r="N56" i="2" s="1"/>
  <c r="M58" i="2"/>
  <c r="M56" i="2" s="1"/>
  <c r="L58" i="2"/>
  <c r="L56" i="2" s="1"/>
  <c r="P57" i="2"/>
  <c r="O57" i="2"/>
  <c r="P54" i="2"/>
  <c r="O54" i="2"/>
  <c r="N54" i="2"/>
  <c r="M54" i="2"/>
  <c r="L54" i="2"/>
  <c r="N49" i="2"/>
  <c r="N47" i="2" s="1"/>
  <c r="M49" i="2"/>
  <c r="P49" i="2" s="1"/>
  <c r="L49" i="2"/>
  <c r="O49" i="2" s="1"/>
  <c r="P48" i="2"/>
  <c r="O48" i="2"/>
  <c r="N46" i="2"/>
  <c r="M46" i="2"/>
  <c r="M44" i="2" s="1"/>
  <c r="L46" i="2"/>
  <c r="L44" i="2" s="1"/>
  <c r="P45" i="2"/>
  <c r="O45" i="2"/>
  <c r="P42" i="2"/>
  <c r="N42" i="2"/>
  <c r="M42" i="2"/>
  <c r="L42" i="2"/>
  <c r="O42" i="2" s="1"/>
  <c r="N36" i="2"/>
  <c r="N34" i="2" s="1"/>
  <c r="M36" i="2"/>
  <c r="M34" i="2" s="1"/>
  <c r="P34" i="2" s="1"/>
  <c r="N35" i="2"/>
  <c r="M35" i="2"/>
  <c r="P35" i="2" s="1"/>
  <c r="L35" i="2"/>
  <c r="O35" i="2" s="1"/>
  <c r="N33" i="2"/>
  <c r="P32" i="2"/>
  <c r="N32" i="2"/>
  <c r="M32" i="2"/>
  <c r="L32" i="2"/>
  <c r="N31" i="2"/>
  <c r="N30" i="2"/>
  <c r="N29" i="2"/>
  <c r="N28" i="2"/>
  <c r="P25" i="2"/>
  <c r="O25" i="2"/>
  <c r="N25" i="2"/>
  <c r="M25" i="2"/>
  <c r="L25" i="2"/>
  <c r="O22" i="2"/>
  <c r="N22" i="2"/>
  <c r="M22" i="2"/>
  <c r="L22" i="2"/>
  <c r="L12" i="2" s="1"/>
  <c r="L19" i="2"/>
  <c r="N15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N805" i="1" s="1"/>
  <c r="M807" i="1"/>
  <c r="P807" i="1" s="1"/>
  <c r="L807" i="1"/>
  <c r="O807" i="1" s="1"/>
  <c r="N806" i="1"/>
  <c r="M806" i="1"/>
  <c r="L806" i="1"/>
  <c r="O806" i="1" s="1"/>
  <c r="K804" i="1"/>
  <c r="J804" i="1"/>
  <c r="K802" i="1"/>
  <c r="J801" i="1"/>
  <c r="J800" i="1"/>
  <c r="J785" i="1" s="1"/>
  <c r="I800" i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P791" i="1"/>
  <c r="L791" i="1"/>
  <c r="L789" i="1" s="1"/>
  <c r="O789" i="1" s="1"/>
  <c r="P790" i="1"/>
  <c r="O790" i="1"/>
  <c r="M789" i="1"/>
  <c r="P789" i="1" s="1"/>
  <c r="P788" i="1"/>
  <c r="M788" i="1"/>
  <c r="P787" i="1"/>
  <c r="O787" i="1"/>
  <c r="N787" i="1"/>
  <c r="M787" i="1"/>
  <c r="M786" i="1" s="1"/>
  <c r="P786" i="1" s="1"/>
  <c r="L787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P774" i="1"/>
  <c r="O774" i="1"/>
  <c r="M773" i="1"/>
  <c r="P773" i="1" s="1"/>
  <c r="L773" i="1"/>
  <c r="O773" i="1" s="1"/>
  <c r="M772" i="1"/>
  <c r="L772" i="1"/>
  <c r="O772" i="1" s="1"/>
  <c r="P771" i="1"/>
  <c r="N771" i="1"/>
  <c r="M771" i="1"/>
  <c r="L771" i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P758" i="1"/>
  <c r="O758" i="1"/>
  <c r="M757" i="1"/>
  <c r="P757" i="1" s="1"/>
  <c r="L757" i="1"/>
  <c r="O757" i="1" s="1"/>
  <c r="M756" i="1"/>
  <c r="L756" i="1"/>
  <c r="O756" i="1" s="1"/>
  <c r="P755" i="1"/>
  <c r="N755" i="1"/>
  <c r="M755" i="1"/>
  <c r="L755" i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N739" i="1" s="1"/>
  <c r="P741" i="1"/>
  <c r="O741" i="1"/>
  <c r="N740" i="1"/>
  <c r="M740" i="1"/>
  <c r="P740" i="1" s="1"/>
  <c r="L740" i="1"/>
  <c r="O740" i="1" s="1"/>
  <c r="M739" i="1"/>
  <c r="L739" i="1"/>
  <c r="O739" i="1" s="1"/>
  <c r="P738" i="1"/>
  <c r="N738" i="1"/>
  <c r="N737" i="1" s="1"/>
  <c r="M738" i="1"/>
  <c r="L738" i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N695" i="1"/>
  <c r="M695" i="1"/>
  <c r="L695" i="1"/>
  <c r="O695" i="1" s="1"/>
  <c r="N694" i="1"/>
  <c r="N693" i="1"/>
  <c r="N692" i="1"/>
  <c r="N691" i="1"/>
  <c r="M690" i="1"/>
  <c r="M687" i="1" s="1"/>
  <c r="L690" i="1"/>
  <c r="P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7" i="1" s="1"/>
  <c r="L660" i="1"/>
  <c r="P659" i="1"/>
  <c r="O659" i="1"/>
  <c r="N656" i="1"/>
  <c r="M656" i="1"/>
  <c r="L656" i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L632" i="1" s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O557" i="1" s="1"/>
  <c r="P556" i="1"/>
  <c r="O556" i="1"/>
  <c r="P555" i="1"/>
  <c r="N555" i="1"/>
  <c r="N545" i="1" s="1"/>
  <c r="M555" i="1"/>
  <c r="N554" i="1"/>
  <c r="N553" i="1"/>
  <c r="N552" i="1"/>
  <c r="N551" i="1"/>
  <c r="N550" i="1"/>
  <c r="M549" i="1"/>
  <c r="L549" i="1"/>
  <c r="L547" i="1" s="1"/>
  <c r="P548" i="1"/>
  <c r="O548" i="1"/>
  <c r="M545" i="1"/>
  <c r="L545" i="1"/>
  <c r="J542" i="1"/>
  <c r="I542" i="1"/>
  <c r="J541" i="1"/>
  <c r="I541" i="1"/>
  <c r="J540" i="1"/>
  <c r="I540" i="1"/>
  <c r="J539" i="1"/>
  <c r="I539" i="1"/>
  <c r="J538" i="1"/>
  <c r="I538" i="1"/>
  <c r="J537" i="1"/>
  <c r="J522" i="1" s="1"/>
  <c r="I537" i="1"/>
  <c r="I522" i="1" s="1"/>
  <c r="P535" i="1"/>
  <c r="L535" i="1"/>
  <c r="L533" i="1" s="1"/>
  <c r="O533" i="1" s="1"/>
  <c r="P534" i="1"/>
  <c r="O534" i="1"/>
  <c r="N533" i="1"/>
  <c r="M533" i="1"/>
  <c r="P533" i="1" s="1"/>
  <c r="N532" i="1"/>
  <c r="N531" i="1"/>
  <c r="N530" i="1"/>
  <c r="N529" i="1"/>
  <c r="M528" i="1"/>
  <c r="L528" i="1"/>
  <c r="L526" i="1" s="1"/>
  <c r="P527" i="1"/>
  <c r="O527" i="1"/>
  <c r="O524" i="1"/>
  <c r="N524" i="1"/>
  <c r="M524" i="1"/>
  <c r="P524" i="1" s="1"/>
  <c r="L524" i="1"/>
  <c r="K517" i="1"/>
  <c r="J517" i="1"/>
  <c r="J501" i="1" s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P506" i="1"/>
  <c r="O506" i="1"/>
  <c r="O505" i="1"/>
  <c r="N505" i="1"/>
  <c r="M505" i="1"/>
  <c r="P505" i="1" s="1"/>
  <c r="L505" i="1"/>
  <c r="N504" i="1"/>
  <c r="N502" i="1" s="1"/>
  <c r="M504" i="1"/>
  <c r="P504" i="1" s="1"/>
  <c r="L504" i="1"/>
  <c r="O504" i="1" s="1"/>
  <c r="N503" i="1"/>
  <c r="M503" i="1"/>
  <c r="L503" i="1"/>
  <c r="O503" i="1" s="1"/>
  <c r="L502" i="1"/>
  <c r="O502" i="1" s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P477" i="1"/>
  <c r="N477" i="1"/>
  <c r="M477" i="1"/>
  <c r="N476" i="1"/>
  <c r="N475" i="1"/>
  <c r="N474" i="1"/>
  <c r="N473" i="1"/>
  <c r="M472" i="1"/>
  <c r="M469" i="1" s="1"/>
  <c r="M467" i="1" s="1"/>
  <c r="L472" i="1"/>
  <c r="P471" i="1"/>
  <c r="O471" i="1"/>
  <c r="P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M449" i="1"/>
  <c r="L449" i="1"/>
  <c r="L447" i="1" s="1"/>
  <c r="P448" i="1"/>
  <c r="O448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O431" i="1" s="1"/>
  <c r="P430" i="1"/>
  <c r="O430" i="1"/>
  <c r="P429" i="1"/>
  <c r="N429" i="1"/>
  <c r="M429" i="1"/>
  <c r="N428" i="1"/>
  <c r="N427" i="1"/>
  <c r="N426" i="1"/>
  <c r="N425" i="1"/>
  <c r="M424" i="1"/>
  <c r="L424" i="1"/>
  <c r="P423" i="1"/>
  <c r="O423" i="1"/>
  <c r="N420" i="1"/>
  <c r="M420" i="1"/>
  <c r="L420" i="1"/>
  <c r="O420" i="1" s="1"/>
  <c r="J413" i="1"/>
  <c r="I413" i="1"/>
  <c r="J412" i="1"/>
  <c r="J401" i="1" s="1"/>
  <c r="I412" i="1"/>
  <c r="N410" i="1"/>
  <c r="N408" i="1" s="1"/>
  <c r="M410" i="1"/>
  <c r="M408" i="1" s="1"/>
  <c r="L410" i="1"/>
  <c r="P409" i="1"/>
  <c r="O409" i="1"/>
  <c r="N407" i="1"/>
  <c r="M407" i="1"/>
  <c r="M405" i="1" s="1"/>
  <c r="P405" i="1" s="1"/>
  <c r="L407" i="1"/>
  <c r="O407" i="1" s="1"/>
  <c r="P406" i="1"/>
  <c r="O406" i="1"/>
  <c r="P403" i="1"/>
  <c r="O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M395" i="1" s="1"/>
  <c r="L397" i="1"/>
  <c r="L395" i="1" s="1"/>
  <c r="P396" i="1"/>
  <c r="O396" i="1"/>
  <c r="N394" i="1"/>
  <c r="M394" i="1"/>
  <c r="M392" i="1" s="1"/>
  <c r="P392" i="1" s="1"/>
  <c r="L394" i="1"/>
  <c r="O394" i="1" s="1"/>
  <c r="P393" i="1"/>
  <c r="O393" i="1"/>
  <c r="P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M353" i="1"/>
  <c r="L353" i="1"/>
  <c r="L351" i="1" s="1"/>
  <c r="P352" i="1"/>
  <c r="O352" i="1"/>
  <c r="N350" i="1"/>
  <c r="M350" i="1"/>
  <c r="L350" i="1"/>
  <c r="L348" i="1" s="1"/>
  <c r="P349" i="1"/>
  <c r="O349" i="1"/>
  <c r="N346" i="1"/>
  <c r="M346" i="1"/>
  <c r="L346" i="1"/>
  <c r="O346" i="1" s="1"/>
  <c r="J343" i="1"/>
  <c r="J342" i="1"/>
  <c r="J341" i="1"/>
  <c r="J340" i="1"/>
  <c r="I340" i="1"/>
  <c r="J338" i="1"/>
  <c r="I338" i="1"/>
  <c r="N336" i="1"/>
  <c r="N334" i="1" s="1"/>
  <c r="M336" i="1"/>
  <c r="L336" i="1"/>
  <c r="O336" i="1" s="1"/>
  <c r="P335" i="1"/>
  <c r="O335" i="1"/>
  <c r="N333" i="1"/>
  <c r="N331" i="1" s="1"/>
  <c r="M333" i="1"/>
  <c r="L333" i="1"/>
  <c r="P332" i="1"/>
  <c r="O332" i="1"/>
  <c r="N329" i="1"/>
  <c r="M329" i="1"/>
  <c r="P329" i="1" s="1"/>
  <c r="L329" i="1"/>
  <c r="O329" i="1" s="1"/>
  <c r="I327" i="1"/>
  <c r="J325" i="1"/>
  <c r="J314" i="1" s="1"/>
  <c r="I325" i="1"/>
  <c r="N323" i="1"/>
  <c r="N321" i="1" s="1"/>
  <c r="M323" i="1"/>
  <c r="L323" i="1"/>
  <c r="P322" i="1"/>
  <c r="O322" i="1"/>
  <c r="N320" i="1"/>
  <c r="N318" i="1" s="1"/>
  <c r="M320" i="1"/>
  <c r="L320" i="1"/>
  <c r="L318" i="1" s="1"/>
  <c r="P319" i="1"/>
  <c r="O319" i="1"/>
  <c r="P316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J308" i="1"/>
  <c r="N306" i="1"/>
  <c r="N304" i="1" s="1"/>
  <c r="M306" i="1"/>
  <c r="L306" i="1"/>
  <c r="O306" i="1" s="1"/>
  <c r="P305" i="1"/>
  <c r="O305" i="1"/>
  <c r="N303" i="1"/>
  <c r="N301" i="1" s="1"/>
  <c r="M303" i="1"/>
  <c r="L303" i="1"/>
  <c r="L301" i="1" s="1"/>
  <c r="P302" i="1"/>
  <c r="O302" i="1"/>
  <c r="P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N285" i="1"/>
  <c r="N283" i="1" s="1"/>
  <c r="M285" i="1"/>
  <c r="P285" i="1" s="1"/>
  <c r="L285" i="1"/>
  <c r="P284" i="1"/>
  <c r="O284" i="1"/>
  <c r="N282" i="1"/>
  <c r="N280" i="1" s="1"/>
  <c r="M282" i="1"/>
  <c r="L282" i="1"/>
  <c r="L280" i="1" s="1"/>
  <c r="P281" i="1"/>
  <c r="O281" i="1"/>
  <c r="P278" i="1"/>
  <c r="N278" i="1"/>
  <c r="M278" i="1"/>
  <c r="L278" i="1"/>
  <c r="J271" i="1"/>
  <c r="J260" i="1" s="1"/>
  <c r="I271" i="1"/>
  <c r="N269" i="1"/>
  <c r="N267" i="1" s="1"/>
  <c r="M269" i="1"/>
  <c r="P269" i="1" s="1"/>
  <c r="L269" i="1"/>
  <c r="O269" i="1" s="1"/>
  <c r="P268" i="1"/>
  <c r="O268" i="1"/>
  <c r="N266" i="1"/>
  <c r="M266" i="1"/>
  <c r="M264" i="1" s="1"/>
  <c r="L266" i="1"/>
  <c r="L264" i="1" s="1"/>
  <c r="P265" i="1"/>
  <c r="O265" i="1"/>
  <c r="P262" i="1"/>
  <c r="N262" i="1"/>
  <c r="M262" i="1"/>
  <c r="L262" i="1"/>
  <c r="J258" i="1"/>
  <c r="I258" i="1"/>
  <c r="K258" i="1" s="1"/>
  <c r="J257" i="1"/>
  <c r="I257" i="1"/>
  <c r="K257" i="1" s="1"/>
  <c r="J255" i="1"/>
  <c r="J248" i="1" s="1"/>
  <c r="I255" i="1"/>
  <c r="K255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P189" i="1" s="1"/>
  <c r="L189" i="1"/>
  <c r="L187" i="1" s="1"/>
  <c r="O187" i="1" s="1"/>
  <c r="P188" i="1"/>
  <c r="O188" i="1"/>
  <c r="N186" i="1"/>
  <c r="M186" i="1"/>
  <c r="M184" i="1" s="1"/>
  <c r="L186" i="1"/>
  <c r="L184" i="1" s="1"/>
  <c r="P185" i="1"/>
  <c r="O185" i="1"/>
  <c r="O182" i="1"/>
  <c r="N182" i="1"/>
  <c r="M182" i="1"/>
  <c r="P182" i="1" s="1"/>
  <c r="L182" i="1"/>
  <c r="J177" i="1"/>
  <c r="J176" i="1"/>
  <c r="J174" i="1" s="1"/>
  <c r="I176" i="1"/>
  <c r="N173" i="1"/>
  <c r="N171" i="1" s="1"/>
  <c r="M173" i="1"/>
  <c r="M171" i="1" s="1"/>
  <c r="P171" i="1" s="1"/>
  <c r="L173" i="1"/>
  <c r="P172" i="1"/>
  <c r="O172" i="1"/>
  <c r="N170" i="1"/>
  <c r="N168" i="1" s="1"/>
  <c r="M170" i="1"/>
  <c r="M168" i="1" s="1"/>
  <c r="L170" i="1"/>
  <c r="L168" i="1" s="1"/>
  <c r="P169" i="1"/>
  <c r="O169" i="1"/>
  <c r="P166" i="1"/>
  <c r="N166" i="1"/>
  <c r="M166" i="1"/>
  <c r="L166" i="1"/>
  <c r="J159" i="1"/>
  <c r="J148" i="1" s="1"/>
  <c r="I159" i="1"/>
  <c r="N157" i="1"/>
  <c r="N155" i="1" s="1"/>
  <c r="M157" i="1"/>
  <c r="M155" i="1" s="1"/>
  <c r="P155" i="1" s="1"/>
  <c r="L157" i="1"/>
  <c r="O157" i="1" s="1"/>
  <c r="P156" i="1"/>
  <c r="O156" i="1"/>
  <c r="N154" i="1"/>
  <c r="N152" i="1" s="1"/>
  <c r="M154" i="1"/>
  <c r="M152" i="1" s="1"/>
  <c r="L154" i="1"/>
  <c r="P153" i="1"/>
  <c r="O153" i="1"/>
  <c r="O150" i="1"/>
  <c r="N150" i="1"/>
  <c r="M150" i="1"/>
  <c r="L150" i="1"/>
  <c r="J146" i="1"/>
  <c r="J130" i="1" s="1"/>
  <c r="I146" i="1"/>
  <c r="J145" i="1"/>
  <c r="I145" i="1"/>
  <c r="I143" i="1" s="1"/>
  <c r="I131" i="1" s="1"/>
  <c r="J144" i="1"/>
  <c r="I144" i="1"/>
  <c r="J143" i="1"/>
  <c r="J131" i="1" s="1"/>
  <c r="J142" i="1"/>
  <c r="N140" i="1"/>
  <c r="M140" i="1"/>
  <c r="M138" i="1" s="1"/>
  <c r="L140" i="1"/>
  <c r="L138" i="1" s="1"/>
  <c r="P139" i="1"/>
  <c r="O139" i="1"/>
  <c r="N137" i="1"/>
  <c r="N135" i="1" s="1"/>
  <c r="M137" i="1"/>
  <c r="L137" i="1"/>
  <c r="P136" i="1"/>
  <c r="O136" i="1"/>
  <c r="P133" i="1"/>
  <c r="N133" i="1"/>
  <c r="M133" i="1"/>
  <c r="L133" i="1"/>
  <c r="O133" i="1" s="1"/>
  <c r="N127" i="1"/>
  <c r="M127" i="1"/>
  <c r="L127" i="1"/>
  <c r="P126" i="1"/>
  <c r="O126" i="1"/>
  <c r="N124" i="1"/>
  <c r="N122" i="1" s="1"/>
  <c r="M124" i="1"/>
  <c r="P124" i="1" s="1"/>
  <c r="L124" i="1"/>
  <c r="P123" i="1"/>
  <c r="O123" i="1"/>
  <c r="P120" i="1"/>
  <c r="O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O96" i="1" s="1"/>
  <c r="P95" i="1"/>
  <c r="O95" i="1"/>
  <c r="N93" i="1"/>
  <c r="N91" i="1" s="1"/>
  <c r="M93" i="1"/>
  <c r="L93" i="1"/>
  <c r="L91" i="1" s="1"/>
  <c r="P92" i="1"/>
  <c r="O92" i="1"/>
  <c r="N89" i="1"/>
  <c r="M89" i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O74" i="1" s="1"/>
  <c r="P73" i="1"/>
  <c r="O73" i="1"/>
  <c r="N71" i="1"/>
  <c r="N69" i="1" s="1"/>
  <c r="M71" i="1"/>
  <c r="M69" i="1" s="1"/>
  <c r="L71" i="1"/>
  <c r="P70" i="1"/>
  <c r="O70" i="1"/>
  <c r="P67" i="1"/>
  <c r="N67" i="1"/>
  <c r="M67" i="1"/>
  <c r="L67" i="1"/>
  <c r="O67" i="1" s="1"/>
  <c r="N61" i="1"/>
  <c r="M61" i="1"/>
  <c r="M59" i="1" s="1"/>
  <c r="L61" i="1"/>
  <c r="L59" i="1" s="1"/>
  <c r="P60" i="1"/>
  <c r="O60" i="1"/>
  <c r="N58" i="1"/>
  <c r="M58" i="1"/>
  <c r="M56" i="1" s="1"/>
  <c r="L58" i="1"/>
  <c r="L56" i="1" s="1"/>
  <c r="P57" i="1"/>
  <c r="O57" i="1"/>
  <c r="N54" i="1"/>
  <c r="M54" i="1"/>
  <c r="P54" i="1" s="1"/>
  <c r="L54" i="1"/>
  <c r="O54" i="1" s="1"/>
  <c r="N49" i="1"/>
  <c r="M49" i="1"/>
  <c r="P49" i="1" s="1"/>
  <c r="L49" i="1"/>
  <c r="L47" i="1" s="1"/>
  <c r="O47" i="1" s="1"/>
  <c r="P48" i="1"/>
  <c r="O48" i="1"/>
  <c r="N46" i="1"/>
  <c r="M46" i="1"/>
  <c r="L46" i="1"/>
  <c r="P45" i="1"/>
  <c r="O45" i="1"/>
  <c r="P42" i="1"/>
  <c r="N42" i="1"/>
  <c r="M42" i="1"/>
  <c r="L42" i="1"/>
  <c r="O42" i="1" s="1"/>
  <c r="P36" i="1"/>
  <c r="N36" i="1"/>
  <c r="M36" i="1"/>
  <c r="N35" i="1"/>
  <c r="M35" i="1"/>
  <c r="L35" i="1"/>
  <c r="N34" i="1"/>
  <c r="O32" i="1"/>
  <c r="N32" i="1"/>
  <c r="M32" i="1"/>
  <c r="L32" i="1"/>
  <c r="N29" i="1"/>
  <c r="M29" i="1"/>
  <c r="P25" i="1"/>
  <c r="N25" i="1"/>
  <c r="M25" i="1"/>
  <c r="L25" i="1"/>
  <c r="O25" i="1" s="1"/>
  <c r="N22" i="1"/>
  <c r="N19" i="1" s="1"/>
  <c r="M22" i="1"/>
  <c r="L22" i="1"/>
  <c r="N15" i="1"/>
  <c r="M15" i="1"/>
  <c r="N12" i="1"/>
  <c r="M12" i="1"/>
  <c r="N9" i="1"/>
  <c r="N24" i="15" l="1"/>
  <c r="N31" i="15"/>
  <c r="O44" i="15"/>
  <c r="P26" i="15"/>
  <c r="O33" i="15"/>
  <c r="N14" i="15"/>
  <c r="P33" i="15"/>
  <c r="N317" i="14"/>
  <c r="N315" i="14" s="1"/>
  <c r="P468" i="15"/>
  <c r="M467" i="15"/>
  <c r="L230" i="12"/>
  <c r="P173" i="13"/>
  <c r="O320" i="13"/>
  <c r="P58" i="14"/>
  <c r="M90" i="14"/>
  <c r="M88" i="14" s="1"/>
  <c r="N135" i="14"/>
  <c r="L198" i="14"/>
  <c r="O198" i="14" s="1"/>
  <c r="L230" i="14"/>
  <c r="O264" i="14"/>
  <c r="M280" i="14"/>
  <c r="P280" i="14" s="1"/>
  <c r="L321" i="14"/>
  <c r="O321" i="14" s="1"/>
  <c r="K362" i="14"/>
  <c r="K537" i="14"/>
  <c r="O641" i="14"/>
  <c r="N34" i="15"/>
  <c r="O88" i="15"/>
  <c r="P170" i="15"/>
  <c r="I233" i="15"/>
  <c r="K233" i="15" s="1"/>
  <c r="K244" i="15"/>
  <c r="I237" i="15"/>
  <c r="K435" i="15"/>
  <c r="J433" i="15"/>
  <c r="J417" i="15" s="1"/>
  <c r="I433" i="15"/>
  <c r="K460" i="15"/>
  <c r="P504" i="15"/>
  <c r="M502" i="15"/>
  <c r="P502" i="15" s="1"/>
  <c r="M135" i="15"/>
  <c r="P135" i="15" s="1"/>
  <c r="N168" i="15"/>
  <c r="O168" i="15" s="1"/>
  <c r="I174" i="15"/>
  <c r="K176" i="15"/>
  <c r="L121" i="13"/>
  <c r="O121" i="13" s="1"/>
  <c r="N167" i="13"/>
  <c r="N165" i="13" s="1"/>
  <c r="L183" i="13"/>
  <c r="L181" i="13" s="1"/>
  <c r="N279" i="13"/>
  <c r="N277" i="13" s="1"/>
  <c r="N300" i="13"/>
  <c r="N298" i="13" s="1"/>
  <c r="L318" i="13"/>
  <c r="L321" i="13"/>
  <c r="O321" i="13" s="1"/>
  <c r="N330" i="13"/>
  <c r="M391" i="13"/>
  <c r="P391" i="13" s="1"/>
  <c r="O690" i="13"/>
  <c r="M59" i="14"/>
  <c r="P59" i="14" s="1"/>
  <c r="N26" i="14"/>
  <c r="N16" i="14" s="1"/>
  <c r="N14" i="14" s="1"/>
  <c r="L68" i="14"/>
  <c r="O68" i="14" s="1"/>
  <c r="L91" i="14"/>
  <c r="O91" i="14" s="1"/>
  <c r="N90" i="14"/>
  <c r="N88" i="14" s="1"/>
  <c r="P88" i="14" s="1"/>
  <c r="K99" i="14"/>
  <c r="M187" i="14"/>
  <c r="P187" i="14" s="1"/>
  <c r="L231" i="14"/>
  <c r="O266" i="14"/>
  <c r="N304" i="14"/>
  <c r="K369" i="14"/>
  <c r="O422" i="14"/>
  <c r="M12" i="15"/>
  <c r="M19" i="15"/>
  <c r="L24" i="15"/>
  <c r="O24" i="15" s="1"/>
  <c r="L31" i="15"/>
  <c r="O31" i="15" s="1"/>
  <c r="L43" i="15"/>
  <c r="N44" i="15"/>
  <c r="P44" i="15" s="1"/>
  <c r="P46" i="15"/>
  <c r="L55" i="15"/>
  <c r="P61" i="15"/>
  <c r="N59" i="15"/>
  <c r="P59" i="15" s="1"/>
  <c r="O71" i="15"/>
  <c r="K87" i="15"/>
  <c r="O121" i="15"/>
  <c r="O127" i="15"/>
  <c r="L134" i="15"/>
  <c r="O134" i="15" s="1"/>
  <c r="O137" i="15"/>
  <c r="O138" i="15"/>
  <c r="K146" i="15"/>
  <c r="O167" i="15"/>
  <c r="P186" i="15"/>
  <c r="P282" i="15"/>
  <c r="L321" i="15"/>
  <c r="O321" i="15" s="1"/>
  <c r="O323" i="15"/>
  <c r="L317" i="15"/>
  <c r="O317" i="15" s="1"/>
  <c r="K327" i="15"/>
  <c r="O345" i="15"/>
  <c r="P771" i="15"/>
  <c r="M770" i="15"/>
  <c r="P770" i="15" s="1"/>
  <c r="L90" i="14"/>
  <c r="P182" i="15"/>
  <c r="M181" i="15"/>
  <c r="P181" i="15" s="1"/>
  <c r="O46" i="13"/>
  <c r="L134" i="13"/>
  <c r="O134" i="13" s="1"/>
  <c r="O791" i="13"/>
  <c r="P96" i="14"/>
  <c r="P152" i="14"/>
  <c r="I233" i="14"/>
  <c r="K233" i="14" s="1"/>
  <c r="P266" i="14"/>
  <c r="P282" i="14"/>
  <c r="M392" i="14"/>
  <c r="P392" i="14" s="1"/>
  <c r="O634" i="14"/>
  <c r="N12" i="15"/>
  <c r="L16" i="15"/>
  <c r="O16" i="15" s="1"/>
  <c r="L23" i="15"/>
  <c r="M24" i="15"/>
  <c r="P24" i="15" s="1"/>
  <c r="L30" i="15"/>
  <c r="O30" i="15" s="1"/>
  <c r="M31" i="15"/>
  <c r="P31" i="15" s="1"/>
  <c r="M43" i="15"/>
  <c r="O49" i="15"/>
  <c r="I64" i="15"/>
  <c r="K64" i="15" s="1"/>
  <c r="N68" i="15"/>
  <c r="O68" i="15" s="1"/>
  <c r="I77" i="15"/>
  <c r="J86" i="15"/>
  <c r="K86" i="15" s="1"/>
  <c r="M134" i="15"/>
  <c r="O151" i="15"/>
  <c r="O157" i="15"/>
  <c r="M167" i="15"/>
  <c r="P167" i="15" s="1"/>
  <c r="P173" i="15"/>
  <c r="O181" i="15"/>
  <c r="O183" i="15"/>
  <c r="L238" i="15"/>
  <c r="L249" i="15"/>
  <c r="O249" i="15" s="1"/>
  <c r="L263" i="15"/>
  <c r="O266" i="15"/>
  <c r="N345" i="15"/>
  <c r="P347" i="15"/>
  <c r="N348" i="15"/>
  <c r="P348" i="15" s="1"/>
  <c r="P350" i="15"/>
  <c r="N470" i="15"/>
  <c r="N469" i="15"/>
  <c r="O469" i="15" s="1"/>
  <c r="O503" i="15"/>
  <c r="L502" i="15"/>
  <c r="O502" i="15" s="1"/>
  <c r="N546" i="15"/>
  <c r="N544" i="15" s="1"/>
  <c r="P544" i="15" s="1"/>
  <c r="N547" i="15"/>
  <c r="O806" i="15"/>
  <c r="L805" i="15"/>
  <c r="O805" i="15" s="1"/>
  <c r="M277" i="14"/>
  <c r="P277" i="14" s="1"/>
  <c r="N41" i="15"/>
  <c r="K288" i="15"/>
  <c r="J288" i="15"/>
  <c r="J275" i="15" s="1"/>
  <c r="I275" i="15"/>
  <c r="J537" i="15"/>
  <c r="K538" i="15"/>
  <c r="I434" i="8"/>
  <c r="K434" i="8" s="1"/>
  <c r="I364" i="9"/>
  <c r="L392" i="13"/>
  <c r="O392" i="13" s="1"/>
  <c r="M424" i="13"/>
  <c r="M421" i="13" s="1"/>
  <c r="P421" i="13" s="1"/>
  <c r="K824" i="13"/>
  <c r="M69" i="14"/>
  <c r="P69" i="14" s="1"/>
  <c r="M72" i="14"/>
  <c r="P72" i="14" s="1"/>
  <c r="P93" i="14"/>
  <c r="M122" i="14"/>
  <c r="P122" i="14" s="1"/>
  <c r="N121" i="14"/>
  <c r="I148" i="14"/>
  <c r="K148" i="14" s="1"/>
  <c r="L152" i="14"/>
  <c r="O152" i="14" s="1"/>
  <c r="L171" i="14"/>
  <c r="O171" i="14" s="1"/>
  <c r="L283" i="14"/>
  <c r="O283" i="14" s="1"/>
  <c r="N330" i="14"/>
  <c r="K370" i="14"/>
  <c r="K378" i="14"/>
  <c r="K381" i="14"/>
  <c r="L526" i="14"/>
  <c r="O526" i="14" s="1"/>
  <c r="K594" i="14"/>
  <c r="L9" i="15"/>
  <c r="L15" i="15"/>
  <c r="M16" i="15"/>
  <c r="M23" i="15"/>
  <c r="L29" i="15"/>
  <c r="M30" i="15"/>
  <c r="N55" i="15"/>
  <c r="O90" i="15"/>
  <c r="O91" i="15"/>
  <c r="O96" i="15"/>
  <c r="K99" i="15"/>
  <c r="O133" i="15"/>
  <c r="M183" i="15"/>
  <c r="P183" i="15" s="1"/>
  <c r="K224" i="15"/>
  <c r="M279" i="15"/>
  <c r="M345" i="15"/>
  <c r="P345" i="15" s="1"/>
  <c r="P346" i="15"/>
  <c r="M402" i="15"/>
  <c r="P402" i="15" s="1"/>
  <c r="N405" i="15"/>
  <c r="N404" i="15"/>
  <c r="N402" i="15" s="1"/>
  <c r="O472" i="15"/>
  <c r="M525" i="15"/>
  <c r="P525" i="15" s="1"/>
  <c r="M526" i="15"/>
  <c r="P526" i="15" s="1"/>
  <c r="P528" i="15"/>
  <c r="O545" i="15"/>
  <c r="L544" i="15"/>
  <c r="P547" i="15"/>
  <c r="P686" i="15"/>
  <c r="M685" i="15"/>
  <c r="P685" i="15" s="1"/>
  <c r="N786" i="15"/>
  <c r="K379" i="12"/>
  <c r="K649" i="13"/>
  <c r="M317" i="14"/>
  <c r="P317" i="14" s="1"/>
  <c r="N404" i="14"/>
  <c r="N402" i="14" s="1"/>
  <c r="N23" i="15"/>
  <c r="P58" i="15"/>
  <c r="N66" i="15"/>
  <c r="O66" i="15" s="1"/>
  <c r="O135" i="15"/>
  <c r="P166" i="15"/>
  <c r="M165" i="15"/>
  <c r="P165" i="15" s="1"/>
  <c r="K260" i="15"/>
  <c r="P300" i="15"/>
  <c r="P323" i="15"/>
  <c r="J374" i="15"/>
  <c r="K374" i="15" s="1"/>
  <c r="K381" i="15"/>
  <c r="N631" i="15"/>
  <c r="N629" i="15" s="1"/>
  <c r="N632" i="15"/>
  <c r="O630" i="15"/>
  <c r="L629" i="15"/>
  <c r="O629" i="15" s="1"/>
  <c r="O170" i="15"/>
  <c r="O173" i="15"/>
  <c r="O186" i="15"/>
  <c r="O189" i="15"/>
  <c r="O306" i="15"/>
  <c r="K379" i="15"/>
  <c r="P422" i="15"/>
  <c r="P446" i="15"/>
  <c r="N467" i="15"/>
  <c r="N523" i="15"/>
  <c r="L525" i="15"/>
  <c r="O535" i="15"/>
  <c r="I592" i="15"/>
  <c r="K592" i="15" s="1"/>
  <c r="K593" i="15"/>
  <c r="M629" i="15"/>
  <c r="P629" i="15" s="1"/>
  <c r="P787" i="15"/>
  <c r="M786" i="15"/>
  <c r="P786" i="15" s="1"/>
  <c r="I785" i="15"/>
  <c r="K785" i="15" s="1"/>
  <c r="K800" i="15"/>
  <c r="K825" i="15"/>
  <c r="N298" i="15"/>
  <c r="P298" i="15" s="1"/>
  <c r="L315" i="15"/>
  <c r="O315" i="15" s="1"/>
  <c r="L318" i="15"/>
  <c r="O318" i="15" s="1"/>
  <c r="O320" i="15"/>
  <c r="P351" i="15"/>
  <c r="J364" i="15"/>
  <c r="K364" i="15" s="1"/>
  <c r="O422" i="15"/>
  <c r="N421" i="15"/>
  <c r="N422" i="15"/>
  <c r="M447" i="15"/>
  <c r="P447" i="15" s="1"/>
  <c r="P449" i="15"/>
  <c r="O467" i="15"/>
  <c r="N505" i="15"/>
  <c r="L547" i="15"/>
  <c r="O547" i="15" s="1"/>
  <c r="O549" i="15"/>
  <c r="L685" i="15"/>
  <c r="O685" i="15" s="1"/>
  <c r="P806" i="15"/>
  <c r="M805" i="15"/>
  <c r="P805" i="15" s="1"/>
  <c r="K821" i="15"/>
  <c r="L298" i="15"/>
  <c r="O303" i="15"/>
  <c r="N330" i="15"/>
  <c r="O330" i="15" s="1"/>
  <c r="O347" i="15"/>
  <c r="K359" i="15"/>
  <c r="K370" i="15"/>
  <c r="P390" i="15"/>
  <c r="O410" i="15"/>
  <c r="P445" i="15"/>
  <c r="M444" i="15"/>
  <c r="M469" i="15"/>
  <c r="P469" i="15" s="1"/>
  <c r="M470" i="15"/>
  <c r="P470" i="15" s="1"/>
  <c r="P472" i="15"/>
  <c r="M523" i="15"/>
  <c r="P546" i="15"/>
  <c r="P549" i="15"/>
  <c r="L632" i="15"/>
  <c r="O632" i="15" s="1"/>
  <c r="O634" i="15"/>
  <c r="L421" i="15"/>
  <c r="M315" i="15"/>
  <c r="P315" i="15" s="1"/>
  <c r="L429" i="15"/>
  <c r="O429" i="15" s="1"/>
  <c r="L470" i="15"/>
  <c r="O470" i="15" s="1"/>
  <c r="L526" i="15"/>
  <c r="O526" i="15" s="1"/>
  <c r="P121" i="14"/>
  <c r="M119" i="14"/>
  <c r="P119" i="14" s="1"/>
  <c r="M318" i="9"/>
  <c r="P318" i="9" s="1"/>
  <c r="O168" i="12"/>
  <c r="N279" i="12"/>
  <c r="N68" i="13"/>
  <c r="N66" i="13" s="1"/>
  <c r="M121" i="13"/>
  <c r="M119" i="13" s="1"/>
  <c r="P119" i="13" s="1"/>
  <c r="K569" i="13"/>
  <c r="L125" i="14"/>
  <c r="O125" i="14" s="1"/>
  <c r="I276" i="14"/>
  <c r="K276" i="14" s="1"/>
  <c r="L318" i="14"/>
  <c r="O318" i="14" s="1"/>
  <c r="K338" i="14"/>
  <c r="N348" i="14"/>
  <c r="L351" i="14"/>
  <c r="O351" i="14" s="1"/>
  <c r="N405" i="14"/>
  <c r="O282" i="9"/>
  <c r="L155" i="12"/>
  <c r="O155" i="12" s="1"/>
  <c r="I276" i="12"/>
  <c r="K276" i="12" s="1"/>
  <c r="L330" i="12"/>
  <c r="K378" i="12"/>
  <c r="N55" i="13"/>
  <c r="N53" i="13" s="1"/>
  <c r="N151" i="13"/>
  <c r="N149" i="13" s="1"/>
  <c r="O186" i="13"/>
  <c r="K338" i="13"/>
  <c r="L470" i="13"/>
  <c r="O470" i="13" s="1"/>
  <c r="L43" i="14"/>
  <c r="L41" i="14" s="1"/>
  <c r="M23" i="14"/>
  <c r="M21" i="14" s="1"/>
  <c r="L26" i="14"/>
  <c r="L24" i="14" s="1"/>
  <c r="L66" i="14"/>
  <c r="O66" i="14" s="1"/>
  <c r="L88" i="14"/>
  <c r="O88" i="14" s="1"/>
  <c r="M125" i="14"/>
  <c r="P125" i="14" s="1"/>
  <c r="P137" i="14"/>
  <c r="P157" i="14"/>
  <c r="L217" i="14"/>
  <c r="O217" i="14" s="1"/>
  <c r="K224" i="14"/>
  <c r="L238" i="14"/>
  <c r="O238" i="14" s="1"/>
  <c r="I248" i="14"/>
  <c r="K248" i="14" s="1"/>
  <c r="I260" i="14"/>
  <c r="K260" i="14" s="1"/>
  <c r="L263" i="14"/>
  <c r="L261" i="14" s="1"/>
  <c r="O269" i="14"/>
  <c r="J288" i="14"/>
  <c r="J275" i="14" s="1"/>
  <c r="O330" i="14"/>
  <c r="M408" i="14"/>
  <c r="P408" i="14" s="1"/>
  <c r="I434" i="14"/>
  <c r="I418" i="14" s="1"/>
  <c r="L446" i="14"/>
  <c r="O446" i="14" s="1"/>
  <c r="M549" i="14"/>
  <c r="K577" i="14"/>
  <c r="L631" i="14"/>
  <c r="L788" i="14"/>
  <c r="O788" i="14" s="1"/>
  <c r="K827" i="14"/>
  <c r="I314" i="12"/>
  <c r="K314" i="12" s="1"/>
  <c r="L90" i="13"/>
  <c r="L88" i="13" s="1"/>
  <c r="N121" i="13"/>
  <c r="N119" i="13" s="1"/>
  <c r="L184" i="13"/>
  <c r="L187" i="13"/>
  <c r="O187" i="13" s="1"/>
  <c r="M26" i="14"/>
  <c r="L33" i="14"/>
  <c r="O33" i="14" s="1"/>
  <c r="N53" i="14"/>
  <c r="P53" i="14" s="1"/>
  <c r="I86" i="14"/>
  <c r="K86" i="14" s="1"/>
  <c r="I143" i="14"/>
  <c r="L151" i="14"/>
  <c r="O151" i="14" s="1"/>
  <c r="N263" i="14"/>
  <c r="N261" i="14" s="1"/>
  <c r="K288" i="14"/>
  <c r="P331" i="14"/>
  <c r="K418" i="14"/>
  <c r="L44" i="13"/>
  <c r="O138" i="13"/>
  <c r="L168" i="13"/>
  <c r="L171" i="13"/>
  <c r="O171" i="13" s="1"/>
  <c r="L209" i="13"/>
  <c r="O209" i="13" s="1"/>
  <c r="L280" i="13"/>
  <c r="O280" i="13" s="1"/>
  <c r="L283" i="13"/>
  <c r="O283" i="13" s="1"/>
  <c r="I314" i="13"/>
  <c r="K314" i="13" s="1"/>
  <c r="K379" i="13"/>
  <c r="N405" i="13"/>
  <c r="L421" i="13"/>
  <c r="L419" i="13" s="1"/>
  <c r="O419" i="13" s="1"/>
  <c r="M47" i="14"/>
  <c r="P47" i="14" s="1"/>
  <c r="N56" i="14"/>
  <c r="P56" i="14" s="1"/>
  <c r="O71" i="14"/>
  <c r="P91" i="14"/>
  <c r="J143" i="14"/>
  <c r="J131" i="14" s="1"/>
  <c r="N151" i="14"/>
  <c r="N149" i="14" s="1"/>
  <c r="P154" i="14"/>
  <c r="P168" i="14"/>
  <c r="P170" i="14"/>
  <c r="P184" i="14"/>
  <c r="P186" i="14"/>
  <c r="L209" i="14"/>
  <c r="O209" i="14" s="1"/>
  <c r="L279" i="14"/>
  <c r="L300" i="14"/>
  <c r="O300" i="14" s="1"/>
  <c r="P306" i="14"/>
  <c r="L317" i="14"/>
  <c r="O317" i="14" s="1"/>
  <c r="N328" i="14"/>
  <c r="O328" i="14" s="1"/>
  <c r="L334" i="14"/>
  <c r="O334" i="14" s="1"/>
  <c r="J355" i="14"/>
  <c r="K355" i="14" s="1"/>
  <c r="N391" i="14"/>
  <c r="N389" i="14" s="1"/>
  <c r="M404" i="14"/>
  <c r="M424" i="14"/>
  <c r="L544" i="14"/>
  <c r="O547" i="14"/>
  <c r="O549" i="14"/>
  <c r="K561" i="14"/>
  <c r="K800" i="14"/>
  <c r="K828" i="14"/>
  <c r="P138" i="13"/>
  <c r="N119" i="14"/>
  <c r="N167" i="14"/>
  <c r="P167" i="14" s="1"/>
  <c r="N183" i="14"/>
  <c r="N181" i="14" s="1"/>
  <c r="L347" i="14"/>
  <c r="P19" i="14"/>
  <c r="O788" i="13"/>
  <c r="L786" i="13"/>
  <c r="O786" i="13" s="1"/>
  <c r="N44" i="14"/>
  <c r="N23" i="14"/>
  <c r="L43" i="12"/>
  <c r="L41" i="12" s="1"/>
  <c r="L59" i="12"/>
  <c r="O59" i="12" s="1"/>
  <c r="N263" i="12"/>
  <c r="N261" i="12" s="1"/>
  <c r="N300" i="12"/>
  <c r="N298" i="12" s="1"/>
  <c r="O394" i="12"/>
  <c r="N26" i="13"/>
  <c r="N16" i="13" s="1"/>
  <c r="N134" i="13"/>
  <c r="N132" i="13" s="1"/>
  <c r="O137" i="13"/>
  <c r="K204" i="13"/>
  <c r="L348" i="13"/>
  <c r="O348" i="13" s="1"/>
  <c r="L347" i="13"/>
  <c r="L345" i="13" s="1"/>
  <c r="J364" i="13"/>
  <c r="K370" i="13"/>
  <c r="O46" i="14"/>
  <c r="L55" i="14"/>
  <c r="O55" i="14" s="1"/>
  <c r="L122" i="14"/>
  <c r="O122" i="14" s="1"/>
  <c r="O140" i="14"/>
  <c r="L134" i="14"/>
  <c r="O150" i="14"/>
  <c r="K176" i="14"/>
  <c r="I174" i="14"/>
  <c r="O299" i="14"/>
  <c r="O316" i="14"/>
  <c r="P397" i="14"/>
  <c r="M395" i="14"/>
  <c r="P395" i="14" s="1"/>
  <c r="M391" i="14"/>
  <c r="P391" i="14" s="1"/>
  <c r="K325" i="14"/>
  <c r="I314" i="14"/>
  <c r="K314" i="14" s="1"/>
  <c r="O56" i="9"/>
  <c r="O472" i="11"/>
  <c r="I197" i="12"/>
  <c r="K197" i="12" s="1"/>
  <c r="K340" i="12"/>
  <c r="L631" i="12"/>
  <c r="O631" i="12" s="1"/>
  <c r="O74" i="13"/>
  <c r="N135" i="13"/>
  <c r="P135" i="13" s="1"/>
  <c r="N280" i="13"/>
  <c r="K340" i="13"/>
  <c r="L19" i="14"/>
  <c r="N30" i="14"/>
  <c r="N28" i="14" s="1"/>
  <c r="N31" i="14"/>
  <c r="L59" i="14"/>
  <c r="O59" i="14" s="1"/>
  <c r="M66" i="14"/>
  <c r="P66" i="14" s="1"/>
  <c r="N68" i="14"/>
  <c r="N66" i="14" s="1"/>
  <c r="N132" i="14"/>
  <c r="P140" i="14"/>
  <c r="M138" i="14"/>
  <c r="P138" i="14" s="1"/>
  <c r="P150" i="14"/>
  <c r="L187" i="14"/>
  <c r="O187" i="14" s="1"/>
  <c r="P350" i="14"/>
  <c r="M347" i="14"/>
  <c r="O407" i="14"/>
  <c r="L404" i="14"/>
  <c r="O404" i="14" s="1"/>
  <c r="L405" i="14"/>
  <c r="O405" i="14" s="1"/>
  <c r="N525" i="14"/>
  <c r="N523" i="14" s="1"/>
  <c r="N526" i="14"/>
  <c r="J537" i="14"/>
  <c r="J522" i="14" s="1"/>
  <c r="K538" i="14"/>
  <c r="L249" i="11"/>
  <c r="O249" i="11" s="1"/>
  <c r="I260" i="11"/>
  <c r="K260" i="11" s="1"/>
  <c r="I364" i="11"/>
  <c r="L138" i="12"/>
  <c r="O138" i="12" s="1"/>
  <c r="J143" i="12"/>
  <c r="J131" i="12" s="1"/>
  <c r="K355" i="12"/>
  <c r="L546" i="12"/>
  <c r="O546" i="12" s="1"/>
  <c r="P74" i="13"/>
  <c r="O333" i="13"/>
  <c r="L331" i="13"/>
  <c r="O331" i="13" s="1"/>
  <c r="O421" i="13"/>
  <c r="O12" i="14"/>
  <c r="L9" i="14"/>
  <c r="O25" i="14"/>
  <c r="L15" i="14"/>
  <c r="O32" i="14"/>
  <c r="L29" i="14"/>
  <c r="N43" i="14"/>
  <c r="O43" i="14" s="1"/>
  <c r="L121" i="14"/>
  <c r="O121" i="14" s="1"/>
  <c r="L138" i="14"/>
  <c r="O138" i="14" s="1"/>
  <c r="L183" i="14"/>
  <c r="O263" i="14"/>
  <c r="P333" i="14"/>
  <c r="M330" i="14"/>
  <c r="K340" i="14"/>
  <c r="M348" i="14"/>
  <c r="N469" i="14"/>
  <c r="N467" i="14" s="1"/>
  <c r="N470" i="14"/>
  <c r="P503" i="14"/>
  <c r="M502" i="14"/>
  <c r="P502" i="14" s="1"/>
  <c r="M655" i="14"/>
  <c r="P655" i="14" s="1"/>
  <c r="P657" i="14"/>
  <c r="K673" i="13"/>
  <c r="K672" i="13"/>
  <c r="I654" i="13"/>
  <c r="P12" i="14"/>
  <c r="P25" i="14"/>
  <c r="M15" i="14"/>
  <c r="M9" i="14" s="1"/>
  <c r="M24" i="14"/>
  <c r="P32" i="14"/>
  <c r="M29" i="14"/>
  <c r="K244" i="14"/>
  <c r="I237" i="14"/>
  <c r="O262" i="14"/>
  <c r="N280" i="14"/>
  <c r="N279" i="14"/>
  <c r="N277" i="14" s="1"/>
  <c r="P26" i="14"/>
  <c r="M16" i="14"/>
  <c r="P16" i="14" s="1"/>
  <c r="I112" i="14"/>
  <c r="K112" i="14" s="1"/>
  <c r="K116" i="14"/>
  <c r="M267" i="14"/>
  <c r="P267" i="14" s="1"/>
  <c r="M263" i="14"/>
  <c r="P263" i="14" s="1"/>
  <c r="P269" i="14"/>
  <c r="M391" i="6"/>
  <c r="P391" i="6" s="1"/>
  <c r="K701" i="8"/>
  <c r="N122" i="12"/>
  <c r="L43" i="13"/>
  <c r="L41" i="13" s="1"/>
  <c r="O41" i="13" s="1"/>
  <c r="N43" i="13"/>
  <c r="L68" i="13"/>
  <c r="O68" i="13" s="1"/>
  <c r="O91" i="13"/>
  <c r="K146" i="13"/>
  <c r="K378" i="13"/>
  <c r="K381" i="13"/>
  <c r="N391" i="13"/>
  <c r="N392" i="13"/>
  <c r="N24" i="14"/>
  <c r="L56" i="14"/>
  <c r="I77" i="14"/>
  <c r="I76" i="14"/>
  <c r="K80" i="14"/>
  <c r="M132" i="14"/>
  <c r="P132" i="14" s="1"/>
  <c r="L167" i="14"/>
  <c r="M171" i="14"/>
  <c r="P171" i="14" s="1"/>
  <c r="P262" i="14"/>
  <c r="M261" i="14"/>
  <c r="P261" i="14" s="1"/>
  <c r="L429" i="14"/>
  <c r="O429" i="14" s="1"/>
  <c r="L421" i="14"/>
  <c r="O431" i="14"/>
  <c r="L36" i="14"/>
  <c r="I148" i="13"/>
  <c r="K148" i="13" s="1"/>
  <c r="O181" i="13"/>
  <c r="P333" i="13"/>
  <c r="K362" i="13"/>
  <c r="I433" i="13"/>
  <c r="I417" i="13" s="1"/>
  <c r="J722" i="13"/>
  <c r="N12" i="14"/>
  <c r="L23" i="14"/>
  <c r="P46" i="14"/>
  <c r="M318" i="14"/>
  <c r="P318" i="14" s="1"/>
  <c r="P320" i="14"/>
  <c r="J327" i="14"/>
  <c r="K327" i="14" s="1"/>
  <c r="P336" i="14"/>
  <c r="M334" i="14"/>
  <c r="P334" i="14" s="1"/>
  <c r="P353" i="14"/>
  <c r="M351" i="14"/>
  <c r="P351" i="14" s="1"/>
  <c r="O390" i="14"/>
  <c r="K462" i="14"/>
  <c r="I443" i="14"/>
  <c r="K443" i="14" s="1"/>
  <c r="N502" i="14"/>
  <c r="L655" i="14"/>
  <c r="O655" i="14" s="1"/>
  <c r="O656" i="14"/>
  <c r="P303" i="13"/>
  <c r="P331" i="13"/>
  <c r="J327" i="13"/>
  <c r="K327" i="13" s="1"/>
  <c r="K355" i="13"/>
  <c r="L469" i="13"/>
  <c r="L467" i="13" s="1"/>
  <c r="L47" i="14"/>
  <c r="O47" i="14" s="1"/>
  <c r="M165" i="14"/>
  <c r="O170" i="14"/>
  <c r="M181" i="14"/>
  <c r="O186" i="14"/>
  <c r="I190" i="14"/>
  <c r="K190" i="14" s="1"/>
  <c r="K365" i="14"/>
  <c r="I364" i="14"/>
  <c r="P390" i="14"/>
  <c r="M389" i="14"/>
  <c r="P389" i="14" s="1"/>
  <c r="L454" i="14"/>
  <c r="O454" i="14" s="1"/>
  <c r="O456" i="14"/>
  <c r="M805" i="14"/>
  <c r="P805" i="14" s="1"/>
  <c r="O351" i="13"/>
  <c r="K369" i="13"/>
  <c r="K372" i="13"/>
  <c r="O469" i="13"/>
  <c r="N165" i="14"/>
  <c r="L228" i="14"/>
  <c r="L249" i="14"/>
  <c r="O249" i="14" s="1"/>
  <c r="M321" i="14"/>
  <c r="P321" i="14" s="1"/>
  <c r="P323" i="14"/>
  <c r="J364" i="14"/>
  <c r="L392" i="14"/>
  <c r="O392" i="14" s="1"/>
  <c r="O394" i="14"/>
  <c r="L391" i="14"/>
  <c r="O391" i="14" s="1"/>
  <c r="K673" i="14"/>
  <c r="K669" i="14"/>
  <c r="K672" i="14"/>
  <c r="K675" i="14"/>
  <c r="P771" i="14"/>
  <c r="M770" i="14"/>
  <c r="P770" i="14" s="1"/>
  <c r="O787" i="14"/>
  <c r="L217" i="13"/>
  <c r="O217" i="13" s="1"/>
  <c r="L231" i="13"/>
  <c r="L279" i="13"/>
  <c r="O279" i="13" s="1"/>
  <c r="M279" i="13"/>
  <c r="P279" i="13" s="1"/>
  <c r="M304" i="13"/>
  <c r="P304" i="13" s="1"/>
  <c r="M151" i="14"/>
  <c r="P151" i="14" s="1"/>
  <c r="M300" i="14"/>
  <c r="L331" i="14"/>
  <c r="O331" i="14" s="1"/>
  <c r="O333" i="14"/>
  <c r="L348" i="14"/>
  <c r="O350" i="14"/>
  <c r="K434" i="14"/>
  <c r="I592" i="14"/>
  <c r="K592" i="14" s="1"/>
  <c r="K593" i="14"/>
  <c r="I654" i="14"/>
  <c r="K654" i="14" s="1"/>
  <c r="P787" i="14"/>
  <c r="M786" i="14"/>
  <c r="P786" i="14" s="1"/>
  <c r="O397" i="14"/>
  <c r="K435" i="14"/>
  <c r="J433" i="14"/>
  <c r="J417" i="14" s="1"/>
  <c r="K417" i="14" s="1"/>
  <c r="N446" i="14"/>
  <c r="N444" i="14" s="1"/>
  <c r="L467" i="14"/>
  <c r="M469" i="14"/>
  <c r="O690" i="14"/>
  <c r="L687" i="14"/>
  <c r="L688" i="14"/>
  <c r="O688" i="14" s="1"/>
  <c r="M422" i="14"/>
  <c r="P422" i="14" s="1"/>
  <c r="M444" i="14"/>
  <c r="P444" i="14" s="1"/>
  <c r="O472" i="14"/>
  <c r="L525" i="14"/>
  <c r="O525" i="14" s="1"/>
  <c r="M545" i="14"/>
  <c r="L555" i="14"/>
  <c r="O555" i="14" s="1"/>
  <c r="I628" i="14"/>
  <c r="K628" i="14" s="1"/>
  <c r="K651" i="14"/>
  <c r="L658" i="14"/>
  <c r="O658" i="14" s="1"/>
  <c r="N419" i="14"/>
  <c r="K433" i="14"/>
  <c r="O470" i="14"/>
  <c r="N544" i="14"/>
  <c r="O544" i="14" s="1"/>
  <c r="N629" i="14"/>
  <c r="N805" i="14"/>
  <c r="N345" i="14"/>
  <c r="K374" i="14"/>
  <c r="L408" i="14"/>
  <c r="O408" i="14" s="1"/>
  <c r="M470" i="14"/>
  <c r="P470" i="14" s="1"/>
  <c r="P525" i="14"/>
  <c r="I559" i="14"/>
  <c r="K576" i="14"/>
  <c r="O315" i="13"/>
  <c r="O167" i="13"/>
  <c r="L165" i="13"/>
  <c r="O165" i="13" s="1"/>
  <c r="N14" i="13"/>
  <c r="O263" i="13"/>
  <c r="N43" i="11"/>
  <c r="N41" i="11" s="1"/>
  <c r="J721" i="11"/>
  <c r="M59" i="12"/>
  <c r="P59" i="12" s="1"/>
  <c r="O91" i="12"/>
  <c r="M122" i="12"/>
  <c r="P122" i="12" s="1"/>
  <c r="I208" i="12"/>
  <c r="K208" i="12" s="1"/>
  <c r="P331" i="12"/>
  <c r="K360" i="12"/>
  <c r="N391" i="12"/>
  <c r="L36" i="13"/>
  <c r="O36" i="13" s="1"/>
  <c r="N41" i="13"/>
  <c r="N44" i="13"/>
  <c r="O44" i="13" s="1"/>
  <c r="L23" i="13"/>
  <c r="I86" i="13"/>
  <c r="K86" i="13" s="1"/>
  <c r="P93" i="13"/>
  <c r="M134" i="13"/>
  <c r="P137" i="13"/>
  <c r="M155" i="13"/>
  <c r="P155" i="13" s="1"/>
  <c r="I174" i="13"/>
  <c r="P189" i="13"/>
  <c r="L238" i="13"/>
  <c r="K260" i="13"/>
  <c r="M301" i="13"/>
  <c r="P301" i="13" s="1"/>
  <c r="P323" i="13"/>
  <c r="K360" i="13"/>
  <c r="L395" i="13"/>
  <c r="O395" i="13" s="1"/>
  <c r="M408" i="13"/>
  <c r="P408" i="13" s="1"/>
  <c r="K594" i="13"/>
  <c r="L631" i="13"/>
  <c r="L629" i="13" s="1"/>
  <c r="K821" i="13"/>
  <c r="M283" i="10"/>
  <c r="P283" i="10" s="1"/>
  <c r="L392" i="10"/>
  <c r="O392" i="10" s="1"/>
  <c r="L72" i="12"/>
  <c r="O72" i="12" s="1"/>
  <c r="N68" i="12"/>
  <c r="P189" i="12"/>
  <c r="L334" i="12"/>
  <c r="O334" i="12" s="1"/>
  <c r="L547" i="12"/>
  <c r="O547" i="12" s="1"/>
  <c r="K822" i="12"/>
  <c r="K828" i="12"/>
  <c r="N24" i="13"/>
  <c r="M55" i="13"/>
  <c r="P55" i="13" s="1"/>
  <c r="O71" i="13"/>
  <c r="L94" i="13"/>
  <c r="O94" i="13" s="1"/>
  <c r="O96" i="13"/>
  <c r="O140" i="13"/>
  <c r="M167" i="13"/>
  <c r="P167" i="13" s="1"/>
  <c r="O170" i="13"/>
  <c r="M183" i="13"/>
  <c r="P183" i="13" s="1"/>
  <c r="I190" i="13"/>
  <c r="K190" i="13" s="1"/>
  <c r="L198" i="13"/>
  <c r="O198" i="13" s="1"/>
  <c r="L229" i="13"/>
  <c r="M317" i="13"/>
  <c r="P317" i="13" s="1"/>
  <c r="L334" i="13"/>
  <c r="O334" i="13" s="1"/>
  <c r="K374" i="13"/>
  <c r="L391" i="13"/>
  <c r="M404" i="13"/>
  <c r="O467" i="13"/>
  <c r="K577" i="13"/>
  <c r="K827" i="13"/>
  <c r="L44" i="12"/>
  <c r="P96" i="13"/>
  <c r="P140" i="13"/>
  <c r="M181" i="13"/>
  <c r="P181" i="13" s="1"/>
  <c r="O183" i="13"/>
  <c r="O317" i="13"/>
  <c r="L330" i="13"/>
  <c r="L328" i="13" s="1"/>
  <c r="I434" i="13"/>
  <c r="I418" i="13" s="1"/>
  <c r="K418" i="13" s="1"/>
  <c r="N121" i="11"/>
  <c r="N119" i="11" s="1"/>
  <c r="L231" i="11"/>
  <c r="L68" i="12"/>
  <c r="K176" i="12"/>
  <c r="K362" i="12"/>
  <c r="L404" i="12"/>
  <c r="O404" i="12" s="1"/>
  <c r="I559" i="12"/>
  <c r="M59" i="13"/>
  <c r="P59" i="13" s="1"/>
  <c r="I297" i="13"/>
  <c r="K297" i="13" s="1"/>
  <c r="N347" i="13"/>
  <c r="N345" i="13" s="1"/>
  <c r="O345" i="13" s="1"/>
  <c r="O353" i="13"/>
  <c r="K438" i="13"/>
  <c r="K647" i="13"/>
  <c r="K822" i="13"/>
  <c r="K825" i="11"/>
  <c r="L228" i="12"/>
  <c r="K369" i="12"/>
  <c r="O407" i="12"/>
  <c r="M90" i="13"/>
  <c r="M88" i="13" s="1"/>
  <c r="M151" i="13"/>
  <c r="P151" i="13" s="1"/>
  <c r="P170" i="13"/>
  <c r="P186" i="13"/>
  <c r="L249" i="13"/>
  <c r="O249" i="13" s="1"/>
  <c r="M300" i="13"/>
  <c r="P300" i="13" s="1"/>
  <c r="P320" i="13"/>
  <c r="K385" i="13"/>
  <c r="N402" i="13"/>
  <c r="K561" i="13"/>
  <c r="K620" i="13"/>
  <c r="L685" i="13"/>
  <c r="O685" i="13" s="1"/>
  <c r="K823" i="13"/>
  <c r="K828" i="13"/>
  <c r="M183" i="11"/>
  <c r="M181" i="11" s="1"/>
  <c r="M184" i="11"/>
  <c r="L321" i="11"/>
  <c r="O321" i="11" s="1"/>
  <c r="O323" i="11"/>
  <c r="P173" i="12"/>
  <c r="M171" i="12"/>
  <c r="P171" i="12" s="1"/>
  <c r="M334" i="12"/>
  <c r="P334" i="12" s="1"/>
  <c r="P336" i="12"/>
  <c r="M330" i="12"/>
  <c r="L429" i="2"/>
  <c r="O429" i="2" s="1"/>
  <c r="L36" i="12"/>
  <c r="L34" i="12" s="1"/>
  <c r="O34" i="12" s="1"/>
  <c r="O431" i="12"/>
  <c r="K651" i="10"/>
  <c r="I628" i="10"/>
  <c r="K628" i="10" s="1"/>
  <c r="P186" i="12"/>
  <c r="M184" i="12"/>
  <c r="P184" i="12" s="1"/>
  <c r="M183" i="12"/>
  <c r="M181" i="12" s="1"/>
  <c r="P12" i="13"/>
  <c r="L135" i="12"/>
  <c r="O135" i="12" s="1"/>
  <c r="O137" i="12"/>
  <c r="P397" i="10"/>
  <c r="M395" i="10"/>
  <c r="P395" i="10" s="1"/>
  <c r="P49" i="11"/>
  <c r="M47" i="11"/>
  <c r="P47" i="11" s="1"/>
  <c r="P93" i="12"/>
  <c r="M91" i="12"/>
  <c r="P91" i="12" s="1"/>
  <c r="O348" i="12"/>
  <c r="L391" i="12"/>
  <c r="O391" i="12" s="1"/>
  <c r="O397" i="12"/>
  <c r="L395" i="12"/>
  <c r="O395" i="12" s="1"/>
  <c r="L301" i="13"/>
  <c r="O301" i="13" s="1"/>
  <c r="O303" i="13"/>
  <c r="M347" i="10"/>
  <c r="J721" i="10"/>
  <c r="N134" i="11"/>
  <c r="N132" i="11" s="1"/>
  <c r="L317" i="11"/>
  <c r="O317" i="11" s="1"/>
  <c r="M391" i="11"/>
  <c r="P391" i="11" s="1"/>
  <c r="O410" i="11"/>
  <c r="L317" i="12"/>
  <c r="O317" i="12" s="1"/>
  <c r="K374" i="12"/>
  <c r="O634" i="12"/>
  <c r="N12" i="13"/>
  <c r="N19" i="13"/>
  <c r="M122" i="13"/>
  <c r="P122" i="13" s="1"/>
  <c r="L125" i="13"/>
  <c r="O125" i="13" s="1"/>
  <c r="O127" i="13"/>
  <c r="J143" i="13"/>
  <c r="J131" i="13" s="1"/>
  <c r="K145" i="13"/>
  <c r="I143" i="13"/>
  <c r="L152" i="13"/>
  <c r="O152" i="13" s="1"/>
  <c r="O154" i="13"/>
  <c r="K288" i="13"/>
  <c r="J288" i="13"/>
  <c r="J275" i="13" s="1"/>
  <c r="I275" i="13"/>
  <c r="K275" i="13" s="1"/>
  <c r="L304" i="13"/>
  <c r="O304" i="13" s="1"/>
  <c r="O306" i="13"/>
  <c r="O410" i="13"/>
  <c r="L408" i="13"/>
  <c r="O408" i="13" s="1"/>
  <c r="O806" i="13"/>
  <c r="L805" i="13"/>
  <c r="O805" i="13" s="1"/>
  <c r="M55" i="10"/>
  <c r="K145" i="10"/>
  <c r="N122" i="11"/>
  <c r="N300" i="11"/>
  <c r="N298" i="11" s="1"/>
  <c r="M94" i="12"/>
  <c r="P94" i="12" s="1"/>
  <c r="L217" i="12"/>
  <c r="O217" i="12" s="1"/>
  <c r="O266" i="12"/>
  <c r="J288" i="12"/>
  <c r="J275" i="12" s="1"/>
  <c r="M304" i="12"/>
  <c r="P304" i="12" s="1"/>
  <c r="O353" i="12"/>
  <c r="N404" i="12"/>
  <c r="N402" i="12" s="1"/>
  <c r="K651" i="12"/>
  <c r="J721" i="12"/>
  <c r="M23" i="13"/>
  <c r="M56" i="13"/>
  <c r="P56" i="13" s="1"/>
  <c r="L59" i="13"/>
  <c r="O59" i="13" s="1"/>
  <c r="O61" i="13"/>
  <c r="K79" i="13"/>
  <c r="I77" i="13"/>
  <c r="K99" i="13"/>
  <c r="P124" i="13"/>
  <c r="L155" i="13"/>
  <c r="O155" i="13" s="1"/>
  <c r="O157" i="13"/>
  <c r="O168" i="13"/>
  <c r="I208" i="13"/>
  <c r="K208" i="13" s="1"/>
  <c r="N227" i="13"/>
  <c r="O278" i="13"/>
  <c r="L277" i="13"/>
  <c r="O277" i="13" s="1"/>
  <c r="M280" i="13"/>
  <c r="P280" i="13" s="1"/>
  <c r="P282" i="13"/>
  <c r="P329" i="13"/>
  <c r="M334" i="13"/>
  <c r="P334" i="13" s="1"/>
  <c r="P336" i="13"/>
  <c r="P346" i="13"/>
  <c r="O641" i="8"/>
  <c r="L639" i="10"/>
  <c r="O639" i="10" s="1"/>
  <c r="L687" i="10"/>
  <c r="O687" i="10" s="1"/>
  <c r="N301" i="11"/>
  <c r="L125" i="12"/>
  <c r="O125" i="12" s="1"/>
  <c r="M151" i="12"/>
  <c r="P151" i="12" s="1"/>
  <c r="N151" i="12"/>
  <c r="N149" i="12" s="1"/>
  <c r="I216" i="12"/>
  <c r="K216" i="12" s="1"/>
  <c r="I233" i="12"/>
  <c r="K233" i="12" s="1"/>
  <c r="K338" i="12"/>
  <c r="J364" i="12"/>
  <c r="M404" i="12"/>
  <c r="P404" i="12" s="1"/>
  <c r="M549" i="12"/>
  <c r="O660" i="12"/>
  <c r="K823" i="12"/>
  <c r="M15" i="13"/>
  <c r="M9" i="13" s="1"/>
  <c r="N23" i="13"/>
  <c r="M29" i="13"/>
  <c r="L34" i="13"/>
  <c r="O34" i="13" s="1"/>
  <c r="M43" i="13"/>
  <c r="P49" i="13"/>
  <c r="P58" i="13"/>
  <c r="I76" i="13"/>
  <c r="N90" i="13"/>
  <c r="O93" i="13"/>
  <c r="M125" i="13"/>
  <c r="P125" i="13" s="1"/>
  <c r="O150" i="13"/>
  <c r="L149" i="13"/>
  <c r="O149" i="13" s="1"/>
  <c r="M152" i="13"/>
  <c r="P152" i="13" s="1"/>
  <c r="N328" i="13"/>
  <c r="L404" i="13"/>
  <c r="O404" i="13" s="1"/>
  <c r="L56" i="13"/>
  <c r="O56" i="13" s="1"/>
  <c r="O58" i="13"/>
  <c r="L267" i="13"/>
  <c r="O267" i="13" s="1"/>
  <c r="O269" i="13"/>
  <c r="L447" i="13"/>
  <c r="O447" i="13" s="1"/>
  <c r="O449" i="13"/>
  <c r="L446" i="13"/>
  <c r="O446" i="13" s="1"/>
  <c r="M449" i="13"/>
  <c r="L547" i="13"/>
  <c r="O547" i="13" s="1"/>
  <c r="O549" i="13"/>
  <c r="L546" i="13"/>
  <c r="O546" i="13" s="1"/>
  <c r="M549" i="13"/>
  <c r="L209" i="12"/>
  <c r="O209" i="12" s="1"/>
  <c r="L421" i="12"/>
  <c r="O421" i="12" s="1"/>
  <c r="L26" i="13"/>
  <c r="L33" i="13"/>
  <c r="P46" i="13"/>
  <c r="L55" i="13"/>
  <c r="O55" i="13" s="1"/>
  <c r="M68" i="13"/>
  <c r="P71" i="13"/>
  <c r="P91" i="13"/>
  <c r="L119" i="13"/>
  <c r="O119" i="13" s="1"/>
  <c r="O238" i="13"/>
  <c r="M283" i="13"/>
  <c r="P283" i="13" s="1"/>
  <c r="P285" i="13"/>
  <c r="I443" i="13"/>
  <c r="K443" i="13" s="1"/>
  <c r="K462" i="13"/>
  <c r="I559" i="13"/>
  <c r="K576" i="13"/>
  <c r="J592" i="13"/>
  <c r="K593" i="13"/>
  <c r="O528" i="13"/>
  <c r="M528" i="13"/>
  <c r="L525" i="13"/>
  <c r="L526" i="13"/>
  <c r="O526" i="13" s="1"/>
  <c r="K822" i="4"/>
  <c r="K828" i="4"/>
  <c r="I112" i="10"/>
  <c r="K112" i="10" s="1"/>
  <c r="L283" i="10"/>
  <c r="O283" i="10" s="1"/>
  <c r="N330" i="10"/>
  <c r="N328" i="10" s="1"/>
  <c r="K827" i="10"/>
  <c r="N263" i="11"/>
  <c r="N261" i="11" s="1"/>
  <c r="L280" i="11"/>
  <c r="O280" i="11" s="1"/>
  <c r="L283" i="11"/>
  <c r="O283" i="11" s="1"/>
  <c r="P350" i="11"/>
  <c r="P353" i="11"/>
  <c r="P170" i="12"/>
  <c r="O184" i="12"/>
  <c r="I190" i="12"/>
  <c r="K190" i="12" s="1"/>
  <c r="I364" i="12"/>
  <c r="K381" i="12"/>
  <c r="O410" i="12"/>
  <c r="J628" i="12"/>
  <c r="K628" i="12" s="1"/>
  <c r="M634" i="12"/>
  <c r="M631" i="12" s="1"/>
  <c r="K647" i="12"/>
  <c r="L657" i="12"/>
  <c r="K672" i="12"/>
  <c r="J722" i="12"/>
  <c r="K821" i="12"/>
  <c r="K824" i="12"/>
  <c r="K827" i="12"/>
  <c r="L12" i="13"/>
  <c r="L19" i="13"/>
  <c r="M26" i="13"/>
  <c r="M24" i="13" s="1"/>
  <c r="P24" i="13" s="1"/>
  <c r="K115" i="13"/>
  <c r="I112" i="13"/>
  <c r="K112" i="13" s="1"/>
  <c r="L122" i="13"/>
  <c r="O122" i="13" s="1"/>
  <c r="O124" i="13"/>
  <c r="L264" i="13"/>
  <c r="O264" i="13" s="1"/>
  <c r="O266" i="13"/>
  <c r="L300" i="13"/>
  <c r="O300" i="13" s="1"/>
  <c r="M631" i="13"/>
  <c r="M632" i="13"/>
  <c r="P632" i="13" s="1"/>
  <c r="P634" i="13"/>
  <c r="M351" i="13"/>
  <c r="P351" i="13" s="1"/>
  <c r="P353" i="13"/>
  <c r="O445" i="13"/>
  <c r="P806" i="13"/>
  <c r="M805" i="13"/>
  <c r="P805" i="13" s="1"/>
  <c r="I233" i="13"/>
  <c r="K233" i="13" s="1"/>
  <c r="I248" i="13"/>
  <c r="K248" i="13" s="1"/>
  <c r="L261" i="13"/>
  <c r="O261" i="13" s="1"/>
  <c r="M277" i="13"/>
  <c r="P277" i="13" s="1"/>
  <c r="O347" i="13"/>
  <c r="I364" i="13"/>
  <c r="K364" i="13" s="1"/>
  <c r="K365" i="13"/>
  <c r="M392" i="13"/>
  <c r="P392" i="13" s="1"/>
  <c r="P394" i="13"/>
  <c r="O456" i="13"/>
  <c r="L533" i="13"/>
  <c r="O533" i="13" s="1"/>
  <c r="O557" i="13"/>
  <c r="K568" i="13"/>
  <c r="O634" i="13"/>
  <c r="N737" i="13"/>
  <c r="N184" i="13"/>
  <c r="P184" i="13" s="1"/>
  <c r="M261" i="13"/>
  <c r="P261" i="13" s="1"/>
  <c r="N318" i="13"/>
  <c r="O318" i="13" s="1"/>
  <c r="M347" i="13"/>
  <c r="P390" i="13"/>
  <c r="M389" i="13"/>
  <c r="P389" i="13" s="1"/>
  <c r="P555" i="13"/>
  <c r="M545" i="13"/>
  <c r="K651" i="13"/>
  <c r="I628" i="13"/>
  <c r="K628" i="13" s="1"/>
  <c r="J669" i="13"/>
  <c r="K675" i="13"/>
  <c r="P686" i="13"/>
  <c r="M685" i="13"/>
  <c r="P685" i="13" s="1"/>
  <c r="O350" i="13"/>
  <c r="N389" i="13"/>
  <c r="M395" i="13"/>
  <c r="P395" i="13" s="1"/>
  <c r="P397" i="13"/>
  <c r="L405" i="13"/>
  <c r="O405" i="13" s="1"/>
  <c r="M422" i="13"/>
  <c r="P422" i="13" s="1"/>
  <c r="P424" i="13"/>
  <c r="O545" i="13"/>
  <c r="N629" i="13"/>
  <c r="N414" i="13" s="1"/>
  <c r="N685" i="13"/>
  <c r="N770" i="13"/>
  <c r="I237" i="13"/>
  <c r="M330" i="13"/>
  <c r="P330" i="13" s="1"/>
  <c r="M348" i="13"/>
  <c r="P348" i="13" s="1"/>
  <c r="P350" i="13"/>
  <c r="P420" i="13"/>
  <c r="M419" i="13"/>
  <c r="M469" i="13"/>
  <c r="P469" i="13" s="1"/>
  <c r="M470" i="13"/>
  <c r="J537" i="13"/>
  <c r="K538" i="13"/>
  <c r="K592" i="13"/>
  <c r="L655" i="13"/>
  <c r="O655" i="13" s="1"/>
  <c r="O660" i="13"/>
  <c r="M660" i="13"/>
  <c r="M737" i="13"/>
  <c r="P737" i="13" s="1"/>
  <c r="P787" i="13"/>
  <c r="M786" i="13"/>
  <c r="P786" i="13" s="1"/>
  <c r="I785" i="13"/>
  <c r="K785" i="13" s="1"/>
  <c r="K800" i="13"/>
  <c r="I442" i="13"/>
  <c r="K442" i="13" s="1"/>
  <c r="J433" i="13"/>
  <c r="N470" i="13"/>
  <c r="L632" i="13"/>
  <c r="O632" i="13" s="1"/>
  <c r="L639" i="13"/>
  <c r="O639" i="13" s="1"/>
  <c r="O68" i="12"/>
  <c r="L66" i="12"/>
  <c r="O66" i="12" s="1"/>
  <c r="P56" i="12"/>
  <c r="L68" i="8"/>
  <c r="O68" i="8" s="1"/>
  <c r="I314" i="10"/>
  <c r="K314" i="10" s="1"/>
  <c r="O353" i="10"/>
  <c r="K828" i="10"/>
  <c r="L43" i="11"/>
  <c r="L41" i="11" s="1"/>
  <c r="K204" i="11"/>
  <c r="M283" i="11"/>
  <c r="P283" i="11" s="1"/>
  <c r="M301" i="11"/>
  <c r="P301" i="11" s="1"/>
  <c r="I314" i="11"/>
  <c r="K314" i="11" s="1"/>
  <c r="M334" i="11"/>
  <c r="P334" i="11" s="1"/>
  <c r="O407" i="11"/>
  <c r="N404" i="11"/>
  <c r="N402" i="11" s="1"/>
  <c r="O557" i="11"/>
  <c r="M26" i="12"/>
  <c r="M24" i="12" s="1"/>
  <c r="L69" i="12"/>
  <c r="O69" i="12" s="1"/>
  <c r="K99" i="12"/>
  <c r="M125" i="12"/>
  <c r="P125" i="12" s="1"/>
  <c r="P137" i="12"/>
  <c r="M167" i="12"/>
  <c r="M165" i="12" s="1"/>
  <c r="L187" i="12"/>
  <c r="O187" i="12" s="1"/>
  <c r="M264" i="12"/>
  <c r="P264" i="12" s="1"/>
  <c r="M280" i="12"/>
  <c r="P280" i="12" s="1"/>
  <c r="N317" i="12"/>
  <c r="N315" i="12" s="1"/>
  <c r="L331" i="12"/>
  <c r="O331" i="12" s="1"/>
  <c r="J327" i="12"/>
  <c r="K327" i="12" s="1"/>
  <c r="N351" i="12"/>
  <c r="O351" i="12" s="1"/>
  <c r="N389" i="12"/>
  <c r="M424" i="12"/>
  <c r="L469" i="12"/>
  <c r="L467" i="12" s="1"/>
  <c r="O467" i="12" s="1"/>
  <c r="L688" i="12"/>
  <c r="O688" i="12" s="1"/>
  <c r="L230" i="8"/>
  <c r="L231" i="9"/>
  <c r="M280" i="9"/>
  <c r="P280" i="9" s="1"/>
  <c r="I559" i="10"/>
  <c r="K559" i="10" s="1"/>
  <c r="L55" i="11"/>
  <c r="L53" i="11" s="1"/>
  <c r="O56" i="11"/>
  <c r="M167" i="11"/>
  <c r="L198" i="11"/>
  <c r="O198" i="11" s="1"/>
  <c r="L304" i="11"/>
  <c r="O304" i="11" s="1"/>
  <c r="K379" i="11"/>
  <c r="I112" i="12"/>
  <c r="K112" i="12" s="1"/>
  <c r="L134" i="12"/>
  <c r="O134" i="12" s="1"/>
  <c r="L152" i="12"/>
  <c r="O152" i="12" s="1"/>
  <c r="L183" i="12"/>
  <c r="L181" i="12" s="1"/>
  <c r="L321" i="12"/>
  <c r="O321" i="12" s="1"/>
  <c r="L422" i="12"/>
  <c r="O422" i="12" s="1"/>
  <c r="L134" i="10"/>
  <c r="O134" i="10" s="1"/>
  <c r="L230" i="10"/>
  <c r="M55" i="11"/>
  <c r="L90" i="11"/>
  <c r="N55" i="12"/>
  <c r="N53" i="12" s="1"/>
  <c r="N66" i="12"/>
  <c r="O71" i="12"/>
  <c r="I76" i="12"/>
  <c r="I64" i="12" s="1"/>
  <c r="K64" i="12" s="1"/>
  <c r="P168" i="12"/>
  <c r="K271" i="12"/>
  <c r="L301" i="12"/>
  <c r="O301" i="12" s="1"/>
  <c r="O333" i="12"/>
  <c r="O424" i="12"/>
  <c r="I522" i="12"/>
  <c r="K522" i="12" s="1"/>
  <c r="K674" i="12"/>
  <c r="M334" i="6"/>
  <c r="P334" i="6" s="1"/>
  <c r="L330" i="10"/>
  <c r="N347" i="10"/>
  <c r="N345" i="10" s="1"/>
  <c r="L631" i="10"/>
  <c r="O631" i="10" s="1"/>
  <c r="L429" i="11"/>
  <c r="O429" i="11" s="1"/>
  <c r="L33" i="12"/>
  <c r="O33" i="12" s="1"/>
  <c r="M43" i="12"/>
  <c r="M41" i="12" s="1"/>
  <c r="O58" i="12"/>
  <c r="I148" i="12"/>
  <c r="K148" i="12" s="1"/>
  <c r="M155" i="12"/>
  <c r="P155" i="12" s="1"/>
  <c r="L198" i="12"/>
  <c r="O198" i="12" s="1"/>
  <c r="I275" i="12"/>
  <c r="K275" i="12" s="1"/>
  <c r="M301" i="12"/>
  <c r="P301" i="12" s="1"/>
  <c r="P333" i="12"/>
  <c r="L347" i="12"/>
  <c r="L345" i="12" s="1"/>
  <c r="M391" i="12"/>
  <c r="K100" i="10"/>
  <c r="L151" i="10"/>
  <c r="O151" i="10" s="1"/>
  <c r="L263" i="11"/>
  <c r="L261" i="11" s="1"/>
  <c r="O353" i="11"/>
  <c r="J722" i="11"/>
  <c r="L47" i="12"/>
  <c r="O47" i="12" s="1"/>
  <c r="L56" i="12"/>
  <c r="O56" i="12" s="1"/>
  <c r="N134" i="12"/>
  <c r="N132" i="12" s="1"/>
  <c r="P140" i="12"/>
  <c r="L151" i="12"/>
  <c r="O151" i="12" s="1"/>
  <c r="L231" i="12"/>
  <c r="M263" i="12"/>
  <c r="P263" i="12" s="1"/>
  <c r="M279" i="12"/>
  <c r="P279" i="12" s="1"/>
  <c r="O350" i="12"/>
  <c r="K359" i="12"/>
  <c r="L446" i="12"/>
  <c r="K649" i="12"/>
  <c r="K675" i="12"/>
  <c r="L788" i="12"/>
  <c r="O788" i="12" s="1"/>
  <c r="M424" i="11"/>
  <c r="M422" i="11" s="1"/>
  <c r="P422" i="11" s="1"/>
  <c r="L421" i="11"/>
  <c r="O421" i="11" s="1"/>
  <c r="O690" i="11"/>
  <c r="L688" i="11"/>
  <c r="O688" i="11" s="1"/>
  <c r="O25" i="12"/>
  <c r="L15" i="12"/>
  <c r="N44" i="12"/>
  <c r="O44" i="12" s="1"/>
  <c r="N23" i="12"/>
  <c r="L26" i="12"/>
  <c r="O96" i="12"/>
  <c r="L90" i="12"/>
  <c r="N55" i="11"/>
  <c r="P42" i="12"/>
  <c r="N47" i="12"/>
  <c r="N26" i="12"/>
  <c r="N16" i="12" s="1"/>
  <c r="N14" i="12" s="1"/>
  <c r="L94" i="12"/>
  <c r="O94" i="12" s="1"/>
  <c r="M90" i="10"/>
  <c r="M88" i="10" s="1"/>
  <c r="M91" i="10"/>
  <c r="L533" i="10"/>
  <c r="O533" i="10" s="1"/>
  <c r="L36" i="10"/>
  <c r="O36" i="10" s="1"/>
  <c r="O336" i="11"/>
  <c r="L334" i="11"/>
  <c r="O334" i="11" s="1"/>
  <c r="O791" i="11"/>
  <c r="L788" i="11"/>
  <c r="O788" i="11" s="1"/>
  <c r="P58" i="12"/>
  <c r="M55" i="12"/>
  <c r="O189" i="11"/>
  <c r="L187" i="11"/>
  <c r="O187" i="11" s="1"/>
  <c r="M280" i="10"/>
  <c r="P280" i="10" s="1"/>
  <c r="P282" i="10"/>
  <c r="M279" i="10"/>
  <c r="P71" i="11"/>
  <c r="M69" i="11"/>
  <c r="P69" i="11" s="1"/>
  <c r="O12" i="12"/>
  <c r="P137" i="10"/>
  <c r="M135" i="10"/>
  <c r="P135" i="10" s="1"/>
  <c r="M134" i="10"/>
  <c r="P134" i="10" s="1"/>
  <c r="L19" i="12"/>
  <c r="O46" i="12"/>
  <c r="O59" i="11"/>
  <c r="I216" i="11"/>
  <c r="K216" i="11" s="1"/>
  <c r="K224" i="11"/>
  <c r="P331" i="11"/>
  <c r="O32" i="12"/>
  <c r="L29" i="12"/>
  <c r="N43" i="12"/>
  <c r="N41" i="12" s="1"/>
  <c r="K86" i="12"/>
  <c r="L43" i="4"/>
  <c r="L68" i="5"/>
  <c r="O68" i="5" s="1"/>
  <c r="O71" i="9"/>
  <c r="L152" i="10"/>
  <c r="O152" i="10" s="1"/>
  <c r="L183" i="10"/>
  <c r="L181" i="10" s="1"/>
  <c r="N279" i="10"/>
  <c r="N277" i="10" s="1"/>
  <c r="I297" i="10"/>
  <c r="K297" i="10" s="1"/>
  <c r="L300" i="10"/>
  <c r="O300" i="10" s="1"/>
  <c r="M304" i="10"/>
  <c r="P304" i="10" s="1"/>
  <c r="L69" i="11"/>
  <c r="O69" i="11" s="1"/>
  <c r="L135" i="11"/>
  <c r="O135" i="11" s="1"/>
  <c r="N151" i="11"/>
  <c r="N149" i="11" s="1"/>
  <c r="L238" i="11"/>
  <c r="M280" i="11"/>
  <c r="P280" i="11" s="1"/>
  <c r="P306" i="11"/>
  <c r="M392" i="11"/>
  <c r="P392" i="11" s="1"/>
  <c r="M395" i="11"/>
  <c r="P395" i="11" s="1"/>
  <c r="K649" i="11"/>
  <c r="M12" i="12"/>
  <c r="M19" i="12"/>
  <c r="L55" i="12"/>
  <c r="K144" i="12"/>
  <c r="L264" i="12"/>
  <c r="O264" i="12" s="1"/>
  <c r="L304" i="12"/>
  <c r="O304" i="12" s="1"/>
  <c r="M317" i="12"/>
  <c r="L328" i="12"/>
  <c r="N330" i="12"/>
  <c r="P353" i="12"/>
  <c r="M351" i="12"/>
  <c r="O686" i="12"/>
  <c r="O787" i="12"/>
  <c r="I785" i="12"/>
  <c r="K785" i="12" s="1"/>
  <c r="K800" i="12"/>
  <c r="O806" i="12"/>
  <c r="L805" i="12"/>
  <c r="O805" i="12" s="1"/>
  <c r="L280" i="12"/>
  <c r="O280" i="12" s="1"/>
  <c r="O282" i="12"/>
  <c r="M321" i="12"/>
  <c r="P321" i="12" s="1"/>
  <c r="P788" i="12"/>
  <c r="M786" i="12"/>
  <c r="P786" i="12" s="1"/>
  <c r="P807" i="12"/>
  <c r="M805" i="12"/>
  <c r="P805" i="12" s="1"/>
  <c r="L121" i="10"/>
  <c r="O121" i="10" s="1"/>
  <c r="L138" i="10"/>
  <c r="O138" i="10" s="1"/>
  <c r="L280" i="10"/>
  <c r="O280" i="10" s="1"/>
  <c r="I77" i="11"/>
  <c r="I65" i="11" s="1"/>
  <c r="K65" i="11" s="1"/>
  <c r="N330" i="11"/>
  <c r="N328" i="11" s="1"/>
  <c r="N12" i="12"/>
  <c r="L23" i="12"/>
  <c r="P46" i="12"/>
  <c r="P49" i="12"/>
  <c r="K87" i="12"/>
  <c r="K145" i="12"/>
  <c r="I143" i="12"/>
  <c r="O150" i="12"/>
  <c r="P278" i="12"/>
  <c r="L283" i="12"/>
  <c r="O283" i="12" s="1"/>
  <c r="O285" i="12"/>
  <c r="L300" i="12"/>
  <c r="O300" i="12" s="1"/>
  <c r="O316" i="12"/>
  <c r="K385" i="12"/>
  <c r="O403" i="12"/>
  <c r="M408" i="12"/>
  <c r="P408" i="12" s="1"/>
  <c r="P410" i="12"/>
  <c r="P738" i="12"/>
  <c r="M737" i="12"/>
  <c r="P737" i="12" s="1"/>
  <c r="N317" i="11"/>
  <c r="N315" i="11" s="1"/>
  <c r="M351" i="11"/>
  <c r="P351" i="11" s="1"/>
  <c r="K360" i="11"/>
  <c r="J364" i="11"/>
  <c r="L404" i="11"/>
  <c r="O404" i="11" s="1"/>
  <c r="K537" i="11"/>
  <c r="M23" i="12"/>
  <c r="I77" i="12"/>
  <c r="J87" i="12"/>
  <c r="K115" i="12"/>
  <c r="L121" i="12"/>
  <c r="M134" i="12"/>
  <c r="P134" i="12" s="1"/>
  <c r="M152" i="12"/>
  <c r="P152" i="12" s="1"/>
  <c r="K225" i="12"/>
  <c r="K244" i="12"/>
  <c r="K255" i="12"/>
  <c r="I248" i="12"/>
  <c r="K248" i="12" s="1"/>
  <c r="L267" i="12"/>
  <c r="O267" i="12" s="1"/>
  <c r="N277" i="12"/>
  <c r="M300" i="12"/>
  <c r="P300" i="12" s="1"/>
  <c r="L318" i="12"/>
  <c r="O318" i="12" s="1"/>
  <c r="P329" i="12"/>
  <c r="M328" i="12"/>
  <c r="K540" i="12"/>
  <c r="J537" i="12"/>
  <c r="J522" i="12" s="1"/>
  <c r="O262" i="12"/>
  <c r="L90" i="10"/>
  <c r="L88" i="10" s="1"/>
  <c r="M391" i="10"/>
  <c r="M90" i="11"/>
  <c r="M88" i="11" s="1"/>
  <c r="M171" i="11"/>
  <c r="P171" i="11" s="1"/>
  <c r="O333" i="11"/>
  <c r="K369" i="11"/>
  <c r="K372" i="11"/>
  <c r="K823" i="11"/>
  <c r="K826" i="11"/>
  <c r="M68" i="12"/>
  <c r="P68" i="12" s="1"/>
  <c r="N90" i="12"/>
  <c r="O93" i="12"/>
  <c r="K100" i="12"/>
  <c r="M121" i="12"/>
  <c r="P121" i="12" s="1"/>
  <c r="I164" i="12"/>
  <c r="K164" i="12" s="1"/>
  <c r="N167" i="12"/>
  <c r="O170" i="12"/>
  <c r="N183" i="12"/>
  <c r="O186" i="12"/>
  <c r="I237" i="12"/>
  <c r="L238" i="12"/>
  <c r="L263" i="12"/>
  <c r="O263" i="12" s="1"/>
  <c r="M267" i="12"/>
  <c r="P267" i="12" s="1"/>
  <c r="L279" i="12"/>
  <c r="I297" i="12"/>
  <c r="K297" i="12" s="1"/>
  <c r="O299" i="12"/>
  <c r="M318" i="12"/>
  <c r="P318" i="12" s="1"/>
  <c r="I417" i="12"/>
  <c r="O503" i="12"/>
  <c r="L502" i="12"/>
  <c r="O502" i="12" s="1"/>
  <c r="P771" i="12"/>
  <c r="M770" i="12"/>
  <c r="P770" i="12" s="1"/>
  <c r="P56" i="11"/>
  <c r="P59" i="11"/>
  <c r="O331" i="11"/>
  <c r="P333" i="11"/>
  <c r="K340" i="11"/>
  <c r="K98" i="12"/>
  <c r="M348" i="12"/>
  <c r="P348" i="12" s="1"/>
  <c r="P350" i="12"/>
  <c r="M347" i="12"/>
  <c r="P631" i="12"/>
  <c r="M629" i="12"/>
  <c r="P629" i="12" s="1"/>
  <c r="P468" i="12"/>
  <c r="N502" i="12"/>
  <c r="N523" i="12"/>
  <c r="N685" i="12"/>
  <c r="N347" i="12"/>
  <c r="K365" i="12"/>
  <c r="M405" i="12"/>
  <c r="P405" i="12" s="1"/>
  <c r="P407" i="12"/>
  <c r="O630" i="12"/>
  <c r="P755" i="12"/>
  <c r="M754" i="12"/>
  <c r="P754" i="12" s="1"/>
  <c r="N805" i="12"/>
  <c r="K370" i="12"/>
  <c r="K435" i="12"/>
  <c r="J433" i="12"/>
  <c r="J417" i="12" s="1"/>
  <c r="I442" i="12"/>
  <c r="K442" i="12" s="1"/>
  <c r="K460" i="12"/>
  <c r="M469" i="12"/>
  <c r="P469" i="12" s="1"/>
  <c r="M470" i="12"/>
  <c r="P470" i="12" s="1"/>
  <c r="P472" i="12"/>
  <c r="M632" i="12"/>
  <c r="P632" i="12" s="1"/>
  <c r="P634" i="12"/>
  <c r="P687" i="12"/>
  <c r="M685" i="12"/>
  <c r="P685" i="12" s="1"/>
  <c r="P504" i="12"/>
  <c r="M502" i="12"/>
  <c r="P502" i="12" s="1"/>
  <c r="I592" i="12"/>
  <c r="K592" i="12" s="1"/>
  <c r="K593" i="12"/>
  <c r="O632" i="12"/>
  <c r="M392" i="12"/>
  <c r="P392" i="12" s="1"/>
  <c r="M395" i="12"/>
  <c r="P395" i="12" s="1"/>
  <c r="I434" i="12"/>
  <c r="I443" i="12"/>
  <c r="K443" i="12" s="1"/>
  <c r="P445" i="12"/>
  <c r="L447" i="12"/>
  <c r="O447" i="12" s="1"/>
  <c r="L454" i="12"/>
  <c r="O454" i="12" s="1"/>
  <c r="O472" i="12"/>
  <c r="O524" i="12"/>
  <c r="L533" i="12"/>
  <c r="O533" i="12" s="1"/>
  <c r="M547" i="12"/>
  <c r="P547" i="12" s="1"/>
  <c r="I654" i="12"/>
  <c r="K654" i="12" s="1"/>
  <c r="P656" i="12"/>
  <c r="L419" i="12"/>
  <c r="M449" i="12"/>
  <c r="L470" i="12"/>
  <c r="O470" i="12" s="1"/>
  <c r="L477" i="12"/>
  <c r="O477" i="12" s="1"/>
  <c r="L525" i="12"/>
  <c r="O525" i="12" s="1"/>
  <c r="L544" i="12"/>
  <c r="O544" i="12" s="1"/>
  <c r="K669" i="12"/>
  <c r="L687" i="12"/>
  <c r="O687" i="12" s="1"/>
  <c r="L315" i="11"/>
  <c r="O315" i="11" s="1"/>
  <c r="N321" i="11"/>
  <c r="N334" i="11"/>
  <c r="L55" i="5"/>
  <c r="N167" i="5"/>
  <c r="J721" i="9"/>
  <c r="N43" i="10"/>
  <c r="N41" i="10" s="1"/>
  <c r="K115" i="10"/>
  <c r="O431" i="10"/>
  <c r="M472" i="10"/>
  <c r="M469" i="10" s="1"/>
  <c r="P469" i="10" s="1"/>
  <c r="O91" i="11"/>
  <c r="K111" i="11"/>
  <c r="L151" i="11"/>
  <c r="M347" i="11"/>
  <c r="M389" i="11"/>
  <c r="P389" i="11" s="1"/>
  <c r="N391" i="11"/>
  <c r="N389" i="11" s="1"/>
  <c r="K465" i="11"/>
  <c r="P658" i="11"/>
  <c r="P264" i="11"/>
  <c r="L404" i="8"/>
  <c r="O404" i="8" s="1"/>
  <c r="N121" i="9"/>
  <c r="N119" i="9" s="1"/>
  <c r="I130" i="9"/>
  <c r="K130" i="9" s="1"/>
  <c r="I190" i="9"/>
  <c r="K190" i="9" s="1"/>
  <c r="J143" i="10"/>
  <c r="J131" i="10" s="1"/>
  <c r="P154" i="10"/>
  <c r="M167" i="10"/>
  <c r="P353" i="10"/>
  <c r="K385" i="10"/>
  <c r="K462" i="10"/>
  <c r="L525" i="10"/>
  <c r="O525" i="10" s="1"/>
  <c r="K669" i="10"/>
  <c r="M23" i="11"/>
  <c r="M21" i="11" s="1"/>
  <c r="M43" i="11"/>
  <c r="M41" i="11" s="1"/>
  <c r="L23" i="11"/>
  <c r="L68" i="11"/>
  <c r="O68" i="11" s="1"/>
  <c r="L72" i="11"/>
  <c r="O72" i="11" s="1"/>
  <c r="M91" i="11"/>
  <c r="P91" i="11" s="1"/>
  <c r="M94" i="11"/>
  <c r="P94" i="11" s="1"/>
  <c r="L121" i="11"/>
  <c r="N135" i="11"/>
  <c r="M165" i="11"/>
  <c r="M187" i="11"/>
  <c r="P187" i="11" s="1"/>
  <c r="L209" i="11"/>
  <c r="O209" i="11" s="1"/>
  <c r="L228" i="11"/>
  <c r="I233" i="11"/>
  <c r="K233" i="11" s="1"/>
  <c r="I297" i="11"/>
  <c r="K297" i="11" s="1"/>
  <c r="L300" i="11"/>
  <c r="O300" i="11" s="1"/>
  <c r="L318" i="11"/>
  <c r="O318" i="11" s="1"/>
  <c r="N347" i="11"/>
  <c r="N345" i="11" s="1"/>
  <c r="O350" i="11"/>
  <c r="K359" i="11"/>
  <c r="K362" i="11"/>
  <c r="K365" i="11"/>
  <c r="L392" i="11"/>
  <c r="O392" i="11" s="1"/>
  <c r="L422" i="11"/>
  <c r="O422" i="11" s="1"/>
  <c r="O424" i="11"/>
  <c r="O449" i="11"/>
  <c r="K460" i="11"/>
  <c r="O479" i="11"/>
  <c r="L33" i="11"/>
  <c r="L31" i="11" s="1"/>
  <c r="L658" i="11"/>
  <c r="O658" i="11" s="1"/>
  <c r="O660" i="11"/>
  <c r="K672" i="11"/>
  <c r="K821" i="11"/>
  <c r="K827" i="11"/>
  <c r="L301" i="11"/>
  <c r="O301" i="11" s="1"/>
  <c r="L657" i="11"/>
  <c r="O657" i="11" s="1"/>
  <c r="L94" i="5"/>
  <c r="O94" i="5" s="1"/>
  <c r="M155" i="7"/>
  <c r="P155" i="7" s="1"/>
  <c r="K359" i="9"/>
  <c r="P410" i="9"/>
  <c r="L631" i="9"/>
  <c r="O631" i="9" s="1"/>
  <c r="N68" i="10"/>
  <c r="N66" i="10" s="1"/>
  <c r="L155" i="10"/>
  <c r="O155" i="10" s="1"/>
  <c r="M68" i="11"/>
  <c r="P68" i="11" s="1"/>
  <c r="M72" i="11"/>
  <c r="P72" i="11" s="1"/>
  <c r="L138" i="11"/>
  <c r="O138" i="11" s="1"/>
  <c r="P154" i="11"/>
  <c r="L230" i="11"/>
  <c r="P269" i="11"/>
  <c r="L279" i="11"/>
  <c r="M300" i="11"/>
  <c r="P300" i="11" s="1"/>
  <c r="O348" i="11"/>
  <c r="K355" i="11"/>
  <c r="P410" i="11"/>
  <c r="L469" i="11"/>
  <c r="O469" i="11" s="1"/>
  <c r="K674" i="11"/>
  <c r="L789" i="11"/>
  <c r="O789" i="11" s="1"/>
  <c r="K378" i="9"/>
  <c r="K381" i="9"/>
  <c r="L405" i="9"/>
  <c r="O405" i="9" s="1"/>
  <c r="K822" i="9"/>
  <c r="L43" i="10"/>
  <c r="N55" i="10"/>
  <c r="P55" i="10" s="1"/>
  <c r="N90" i="10"/>
  <c r="N88" i="10" s="1"/>
  <c r="M330" i="10"/>
  <c r="P330" i="10" s="1"/>
  <c r="L404" i="10"/>
  <c r="O404" i="10" s="1"/>
  <c r="L789" i="10"/>
  <c r="O789" i="10" s="1"/>
  <c r="P46" i="11"/>
  <c r="N53" i="11"/>
  <c r="N68" i="11"/>
  <c r="N66" i="11" s="1"/>
  <c r="I76" i="11"/>
  <c r="I64" i="11" s="1"/>
  <c r="K64" i="11" s="1"/>
  <c r="L125" i="11"/>
  <c r="O125" i="11" s="1"/>
  <c r="L134" i="11"/>
  <c r="O134" i="11" s="1"/>
  <c r="N155" i="11"/>
  <c r="O186" i="11"/>
  <c r="L217" i="11"/>
  <c r="O217" i="11" s="1"/>
  <c r="M279" i="11"/>
  <c r="J288" i="11"/>
  <c r="J275" i="11" s="1"/>
  <c r="O320" i="11"/>
  <c r="M330" i="11"/>
  <c r="M348" i="11"/>
  <c r="P348" i="11" s="1"/>
  <c r="K370" i="11"/>
  <c r="L391" i="11"/>
  <c r="L389" i="11" s="1"/>
  <c r="O389" i="11" s="1"/>
  <c r="M472" i="11"/>
  <c r="M469" i="11" s="1"/>
  <c r="O351" i="7"/>
  <c r="K359" i="7"/>
  <c r="L300" i="9"/>
  <c r="L298" i="9" s="1"/>
  <c r="K374" i="9"/>
  <c r="P46" i="10"/>
  <c r="I237" i="10"/>
  <c r="K237" i="10" s="1"/>
  <c r="I233" i="10"/>
  <c r="K233" i="10" s="1"/>
  <c r="I364" i="10"/>
  <c r="M404" i="10"/>
  <c r="P404" i="10" s="1"/>
  <c r="L47" i="11"/>
  <c r="O47" i="11" s="1"/>
  <c r="N26" i="11"/>
  <c r="N24" i="11" s="1"/>
  <c r="P140" i="11"/>
  <c r="I148" i="11"/>
  <c r="K148" i="11" s="1"/>
  <c r="L183" i="11"/>
  <c r="L181" i="11" s="1"/>
  <c r="O264" i="11"/>
  <c r="I275" i="11"/>
  <c r="K275" i="11" s="1"/>
  <c r="J327" i="11"/>
  <c r="K327" i="11" s="1"/>
  <c r="O351" i="11"/>
  <c r="L347" i="11"/>
  <c r="L345" i="11" s="1"/>
  <c r="K381" i="11"/>
  <c r="L395" i="11"/>
  <c r="O395" i="11" s="1"/>
  <c r="I434" i="11"/>
  <c r="I418" i="11" s="1"/>
  <c r="K418" i="11" s="1"/>
  <c r="K647" i="11"/>
  <c r="K143" i="11"/>
  <c r="I131" i="11"/>
  <c r="K131" i="11" s="1"/>
  <c r="P299" i="11"/>
  <c r="M546" i="11"/>
  <c r="P546" i="11" s="1"/>
  <c r="P549" i="11"/>
  <c r="M547" i="11"/>
  <c r="P547" i="11" s="1"/>
  <c r="K800" i="11"/>
  <c r="I785" i="11"/>
  <c r="K785" i="11" s="1"/>
  <c r="L90" i="4"/>
  <c r="N263" i="9"/>
  <c r="N261" i="9" s="1"/>
  <c r="M23" i="10"/>
  <c r="M21" i="10" s="1"/>
  <c r="L59" i="10"/>
  <c r="O59" i="10" s="1"/>
  <c r="M301" i="10"/>
  <c r="P301" i="10" s="1"/>
  <c r="O331" i="10"/>
  <c r="O535" i="10"/>
  <c r="J722" i="10"/>
  <c r="N23" i="11"/>
  <c r="M53" i="11"/>
  <c r="O58" i="11"/>
  <c r="O61" i="11"/>
  <c r="K81" i="11"/>
  <c r="P93" i="11"/>
  <c r="M121" i="11"/>
  <c r="P121" i="11" s="1"/>
  <c r="K145" i="11"/>
  <c r="P170" i="11"/>
  <c r="N168" i="11"/>
  <c r="O168" i="11" s="1"/>
  <c r="L229" i="11"/>
  <c r="P262" i="11"/>
  <c r="I417" i="11"/>
  <c r="O456" i="11"/>
  <c r="L446" i="11"/>
  <c r="M634" i="11"/>
  <c r="L632" i="11"/>
  <c r="O632" i="11" s="1"/>
  <c r="L631" i="11"/>
  <c r="O634" i="11"/>
  <c r="N788" i="11"/>
  <c r="N786" i="11" s="1"/>
  <c r="N789" i="11"/>
  <c r="K460" i="2"/>
  <c r="M408" i="8"/>
  <c r="P408" i="8" s="1"/>
  <c r="N167" i="9"/>
  <c r="N165" i="9" s="1"/>
  <c r="I197" i="9"/>
  <c r="K197" i="9" s="1"/>
  <c r="L230" i="9"/>
  <c r="L44" i="10"/>
  <c r="O44" i="10" s="1"/>
  <c r="M47" i="10"/>
  <c r="P47" i="10" s="1"/>
  <c r="M59" i="10"/>
  <c r="P59" i="10" s="1"/>
  <c r="N121" i="10"/>
  <c r="N119" i="10" s="1"/>
  <c r="O124" i="10"/>
  <c r="P127" i="10"/>
  <c r="K176" i="10"/>
  <c r="M183" i="10"/>
  <c r="L231" i="10"/>
  <c r="M263" i="10"/>
  <c r="P263" i="10" s="1"/>
  <c r="L267" i="10"/>
  <c r="O267" i="10" s="1"/>
  <c r="O303" i="10"/>
  <c r="N317" i="10"/>
  <c r="N315" i="10" s="1"/>
  <c r="K338" i="10"/>
  <c r="M348" i="10"/>
  <c r="M351" i="10"/>
  <c r="P351" i="10" s="1"/>
  <c r="O407" i="10"/>
  <c r="P410" i="10"/>
  <c r="L446" i="10"/>
  <c r="L546" i="10"/>
  <c r="O549" i="10"/>
  <c r="L26" i="11"/>
  <c r="M34" i="11"/>
  <c r="P34" i="11" s="1"/>
  <c r="N44" i="11"/>
  <c r="P44" i="11" s="1"/>
  <c r="N47" i="11"/>
  <c r="P58" i="11"/>
  <c r="P61" i="11"/>
  <c r="L88" i="11"/>
  <c r="N90" i="11"/>
  <c r="L94" i="11"/>
  <c r="O94" i="11" s="1"/>
  <c r="P127" i="11"/>
  <c r="M151" i="11"/>
  <c r="P151" i="11" s="1"/>
  <c r="P157" i="11"/>
  <c r="P166" i="11"/>
  <c r="L171" i="11"/>
  <c r="O171" i="11" s="1"/>
  <c r="K193" i="11"/>
  <c r="O238" i="11"/>
  <c r="K244" i="11"/>
  <c r="I237" i="11"/>
  <c r="N279" i="11"/>
  <c r="N277" i="11" s="1"/>
  <c r="O299" i="11"/>
  <c r="L330" i="11"/>
  <c r="O787" i="11"/>
  <c r="L786" i="11"/>
  <c r="O786" i="11" s="1"/>
  <c r="I364" i="8"/>
  <c r="I86" i="9"/>
  <c r="K86" i="9" s="1"/>
  <c r="L69" i="10"/>
  <c r="O69" i="10" s="1"/>
  <c r="M72" i="10"/>
  <c r="P72" i="10" s="1"/>
  <c r="I208" i="10"/>
  <c r="K208" i="10" s="1"/>
  <c r="M267" i="10"/>
  <c r="P267" i="10" s="1"/>
  <c r="L304" i="10"/>
  <c r="O304" i="10" s="1"/>
  <c r="L688" i="10"/>
  <c r="O688" i="10" s="1"/>
  <c r="L12" i="11"/>
  <c r="L19" i="11"/>
  <c r="M26" i="11"/>
  <c r="K115" i="11"/>
  <c r="I112" i="11"/>
  <c r="K112" i="11" s="1"/>
  <c r="P120" i="11"/>
  <c r="L167" i="11"/>
  <c r="N183" i="11"/>
  <c r="O262" i="11"/>
  <c r="P266" i="11"/>
  <c r="I276" i="11"/>
  <c r="K276" i="11" s="1"/>
  <c r="M318" i="11"/>
  <c r="P318" i="11" s="1"/>
  <c r="P320" i="11"/>
  <c r="M317" i="11"/>
  <c r="P317" i="11" s="1"/>
  <c r="O397" i="11"/>
  <c r="L419" i="11"/>
  <c r="P771" i="11"/>
  <c r="M770" i="11"/>
  <c r="P770" i="11" s="1"/>
  <c r="O184" i="9"/>
  <c r="I131" i="10"/>
  <c r="K131" i="10" s="1"/>
  <c r="L167" i="10"/>
  <c r="L165" i="10" s="1"/>
  <c r="L229" i="10"/>
  <c r="K340" i="10"/>
  <c r="K369" i="10"/>
  <c r="K378" i="10"/>
  <c r="K435" i="10"/>
  <c r="K824" i="10"/>
  <c r="M12" i="11"/>
  <c r="M19" i="11"/>
  <c r="N33" i="11"/>
  <c r="O46" i="11"/>
  <c r="O93" i="11"/>
  <c r="M134" i="11"/>
  <c r="P137" i="11"/>
  <c r="J143" i="11"/>
  <c r="J131" i="11" s="1"/>
  <c r="P150" i="11"/>
  <c r="L184" i="11"/>
  <c r="K215" i="11"/>
  <c r="K255" i="11"/>
  <c r="O263" i="11"/>
  <c r="P316" i="11"/>
  <c r="M405" i="11"/>
  <c r="P405" i="11" s="1"/>
  <c r="P407" i="11"/>
  <c r="M404" i="11"/>
  <c r="P738" i="11"/>
  <c r="M737" i="11"/>
  <c r="P737" i="11" s="1"/>
  <c r="J433" i="4"/>
  <c r="J417" i="4" s="1"/>
  <c r="K822" i="8"/>
  <c r="P71" i="9"/>
  <c r="O91" i="9"/>
  <c r="O170" i="9"/>
  <c r="K340" i="9"/>
  <c r="P353" i="9"/>
  <c r="O333" i="10"/>
  <c r="O350" i="10"/>
  <c r="K370" i="10"/>
  <c r="O528" i="10"/>
  <c r="L36" i="11"/>
  <c r="O36" i="11" s="1"/>
  <c r="I87" i="11"/>
  <c r="K87" i="11" s="1"/>
  <c r="K98" i="11"/>
  <c r="P124" i="11"/>
  <c r="N167" i="11"/>
  <c r="O170" i="11"/>
  <c r="I174" i="11"/>
  <c r="P186" i="11"/>
  <c r="N184" i="11"/>
  <c r="M263" i="11"/>
  <c r="P263" i="11" s="1"/>
  <c r="K374" i="11"/>
  <c r="L547" i="11"/>
  <c r="O547" i="11" s="1"/>
  <c r="O549" i="11"/>
  <c r="L546" i="11"/>
  <c r="O546" i="11" s="1"/>
  <c r="O806" i="11"/>
  <c r="L805" i="11"/>
  <c r="O805" i="11" s="1"/>
  <c r="O124" i="11"/>
  <c r="O154" i="11"/>
  <c r="O157" i="11"/>
  <c r="O266" i="11"/>
  <c r="O269" i="11"/>
  <c r="O403" i="11"/>
  <c r="P424" i="11"/>
  <c r="J537" i="11"/>
  <c r="J522" i="11" s="1"/>
  <c r="K538" i="11"/>
  <c r="K561" i="11"/>
  <c r="I559" i="11"/>
  <c r="K576" i="11"/>
  <c r="K654" i="11"/>
  <c r="P660" i="11"/>
  <c r="M657" i="11"/>
  <c r="M786" i="11"/>
  <c r="P786" i="11" s="1"/>
  <c r="M805" i="11"/>
  <c r="P805" i="11" s="1"/>
  <c r="K824" i="11"/>
  <c r="P755" i="11"/>
  <c r="M754" i="11"/>
  <c r="P754" i="11" s="1"/>
  <c r="M321" i="11"/>
  <c r="P321" i="11" s="1"/>
  <c r="P323" i="11"/>
  <c r="O535" i="11"/>
  <c r="L525" i="11"/>
  <c r="P555" i="11"/>
  <c r="M545" i="11"/>
  <c r="K568" i="11"/>
  <c r="K577" i="11"/>
  <c r="N629" i="11"/>
  <c r="N414" i="11" s="1"/>
  <c r="O641" i="11"/>
  <c r="L639" i="11"/>
  <c r="O639" i="11" s="1"/>
  <c r="K651" i="11"/>
  <c r="I628" i="11"/>
  <c r="K628" i="11" s="1"/>
  <c r="M685" i="11"/>
  <c r="P685" i="11" s="1"/>
  <c r="N754" i="11"/>
  <c r="K822" i="11"/>
  <c r="K828" i="11"/>
  <c r="K338" i="11"/>
  <c r="K364" i="11"/>
  <c r="K385" i="11"/>
  <c r="K435" i="11"/>
  <c r="J433" i="11"/>
  <c r="J417" i="11" s="1"/>
  <c r="O470" i="11"/>
  <c r="K593" i="11"/>
  <c r="K675" i="11"/>
  <c r="K669" i="11"/>
  <c r="L687" i="11"/>
  <c r="P46" i="8"/>
  <c r="N263" i="8"/>
  <c r="J364" i="8"/>
  <c r="K381" i="8"/>
  <c r="N43" i="9"/>
  <c r="N41" i="9" s="1"/>
  <c r="I275" i="9"/>
  <c r="K275" i="9" s="1"/>
  <c r="M317" i="9"/>
  <c r="P317" i="9" s="1"/>
  <c r="M405" i="9"/>
  <c r="P405" i="9" s="1"/>
  <c r="N91" i="10"/>
  <c r="P91" i="10" s="1"/>
  <c r="M94" i="10"/>
  <c r="P94" i="10" s="1"/>
  <c r="M138" i="10"/>
  <c r="P138" i="10" s="1"/>
  <c r="I148" i="10"/>
  <c r="K148" i="10" s="1"/>
  <c r="N167" i="10"/>
  <c r="P170" i="10"/>
  <c r="N183" i="10"/>
  <c r="P183" i="10" s="1"/>
  <c r="P186" i="10"/>
  <c r="K255" i="10"/>
  <c r="M264" i="10"/>
  <c r="P264" i="10" s="1"/>
  <c r="I275" i="10"/>
  <c r="K275" i="10" s="1"/>
  <c r="L279" i="10"/>
  <c r="O279" i="10" s="1"/>
  <c r="N280" i="10"/>
  <c r="M300" i="10"/>
  <c r="P300" i="10" s="1"/>
  <c r="M317" i="10"/>
  <c r="P317" i="10" s="1"/>
  <c r="L317" i="10"/>
  <c r="O317" i="10" s="1"/>
  <c r="M331" i="10"/>
  <c r="P331" i="10" s="1"/>
  <c r="L348" i="10"/>
  <c r="K355" i="10"/>
  <c r="K360" i="10"/>
  <c r="M392" i="10"/>
  <c r="P392" i="10" s="1"/>
  <c r="P407" i="10"/>
  <c r="O410" i="10"/>
  <c r="L421" i="10"/>
  <c r="O421" i="10" s="1"/>
  <c r="L454" i="10"/>
  <c r="O454" i="10" s="1"/>
  <c r="L469" i="10"/>
  <c r="O469" i="10" s="1"/>
  <c r="L547" i="10"/>
  <c r="L657" i="10"/>
  <c r="K675" i="10"/>
  <c r="O791" i="10"/>
  <c r="K821" i="10"/>
  <c r="N55" i="5"/>
  <c r="N53" i="5" s="1"/>
  <c r="M134" i="8"/>
  <c r="P134" i="8" s="1"/>
  <c r="L231" i="8"/>
  <c r="N404" i="8"/>
  <c r="M44" i="10"/>
  <c r="P44" i="10" s="1"/>
  <c r="L47" i="10"/>
  <c r="O47" i="10" s="1"/>
  <c r="N26" i="10"/>
  <c r="L55" i="10"/>
  <c r="L53" i="10" s="1"/>
  <c r="M69" i="10"/>
  <c r="P69" i="10" s="1"/>
  <c r="L72" i="10"/>
  <c r="O72" i="10" s="1"/>
  <c r="P168" i="10"/>
  <c r="P184" i="10"/>
  <c r="L209" i="10"/>
  <c r="O209" i="10" s="1"/>
  <c r="P333" i="10"/>
  <c r="L391" i="10"/>
  <c r="O391" i="10" s="1"/>
  <c r="L395" i="10"/>
  <c r="O395" i="10" s="1"/>
  <c r="O424" i="10"/>
  <c r="J433" i="10"/>
  <c r="K433" i="10" s="1"/>
  <c r="M347" i="8"/>
  <c r="M345" i="8" s="1"/>
  <c r="M134" i="9"/>
  <c r="M132" i="9" s="1"/>
  <c r="J288" i="9"/>
  <c r="J275" i="9" s="1"/>
  <c r="M424" i="9"/>
  <c r="M422" i="9" s="1"/>
  <c r="P422" i="9" s="1"/>
  <c r="L525" i="9"/>
  <c r="O525" i="9" s="1"/>
  <c r="K569" i="9"/>
  <c r="L33" i="10"/>
  <c r="L31" i="10" s="1"/>
  <c r="L119" i="10"/>
  <c r="O119" i="10" s="1"/>
  <c r="M121" i="10"/>
  <c r="P121" i="10" s="1"/>
  <c r="P124" i="10"/>
  <c r="M151" i="10"/>
  <c r="P151" i="10" s="1"/>
  <c r="M171" i="10"/>
  <c r="P171" i="10" s="1"/>
  <c r="M187" i="10"/>
  <c r="P187" i="10" s="1"/>
  <c r="L198" i="10"/>
  <c r="O198" i="10" s="1"/>
  <c r="K224" i="10"/>
  <c r="M318" i="10"/>
  <c r="P318" i="10" s="1"/>
  <c r="L328" i="10"/>
  <c r="L334" i="10"/>
  <c r="O334" i="10" s="1"/>
  <c r="L347" i="10"/>
  <c r="N348" i="10"/>
  <c r="P350" i="10"/>
  <c r="L422" i="10"/>
  <c r="O422" i="10" s="1"/>
  <c r="P424" i="10"/>
  <c r="M449" i="10"/>
  <c r="O479" i="10"/>
  <c r="I654" i="10"/>
  <c r="K654" i="10" s="1"/>
  <c r="K672" i="10"/>
  <c r="O137" i="9"/>
  <c r="M392" i="9"/>
  <c r="P392" i="9" s="1"/>
  <c r="L447" i="9"/>
  <c r="O447" i="9" s="1"/>
  <c r="O449" i="9"/>
  <c r="L68" i="10"/>
  <c r="O68" i="10" s="1"/>
  <c r="I86" i="10"/>
  <c r="K86" i="10" s="1"/>
  <c r="L125" i="10"/>
  <c r="O125" i="10" s="1"/>
  <c r="N134" i="10"/>
  <c r="N132" i="10" s="1"/>
  <c r="I190" i="10"/>
  <c r="K190" i="10" s="1"/>
  <c r="L217" i="10"/>
  <c r="O217" i="10" s="1"/>
  <c r="I248" i="10"/>
  <c r="K248" i="10" s="1"/>
  <c r="I260" i="10"/>
  <c r="K260" i="10" s="1"/>
  <c r="I276" i="10"/>
  <c r="K276" i="10" s="1"/>
  <c r="K288" i="10"/>
  <c r="M321" i="10"/>
  <c r="P321" i="10" s="1"/>
  <c r="M334" i="10"/>
  <c r="P334" i="10" s="1"/>
  <c r="L351" i="10"/>
  <c r="O351" i="10" s="1"/>
  <c r="N391" i="10"/>
  <c r="N389" i="10" s="1"/>
  <c r="K673" i="10"/>
  <c r="K822" i="10"/>
  <c r="L134" i="9"/>
  <c r="M183" i="9"/>
  <c r="L217" i="9"/>
  <c r="O217" i="9" s="1"/>
  <c r="P266" i="9"/>
  <c r="P333" i="9"/>
  <c r="K370" i="9"/>
  <c r="M43" i="10"/>
  <c r="M68" i="10"/>
  <c r="P68" i="10" s="1"/>
  <c r="P93" i="10"/>
  <c r="M132" i="10"/>
  <c r="P132" i="10" s="1"/>
  <c r="L135" i="10"/>
  <c r="O135" i="10" s="1"/>
  <c r="P157" i="10"/>
  <c r="L263" i="10"/>
  <c r="L261" i="10" s="1"/>
  <c r="J327" i="10"/>
  <c r="K327" i="10" s="1"/>
  <c r="M345" i="10"/>
  <c r="K359" i="10"/>
  <c r="K362" i="10"/>
  <c r="K379" i="10"/>
  <c r="L447" i="10"/>
  <c r="O447" i="10" s="1"/>
  <c r="K823" i="10"/>
  <c r="N788" i="10"/>
  <c r="N786" i="10" s="1"/>
  <c r="N33" i="10"/>
  <c r="N789" i="10"/>
  <c r="M283" i="5"/>
  <c r="P283" i="5" s="1"/>
  <c r="O690" i="7"/>
  <c r="N43" i="8"/>
  <c r="N41" i="8" s="1"/>
  <c r="N134" i="8"/>
  <c r="N132" i="8" s="1"/>
  <c r="N408" i="8"/>
  <c r="J433" i="8"/>
  <c r="J417" i="8" s="1"/>
  <c r="I443" i="8"/>
  <c r="K443" i="8" s="1"/>
  <c r="K159" i="9"/>
  <c r="K674" i="9"/>
  <c r="K673" i="9"/>
  <c r="K672" i="9"/>
  <c r="I654" i="9"/>
  <c r="K654" i="9" s="1"/>
  <c r="K669" i="9"/>
  <c r="O15" i="10"/>
  <c r="O29" i="10"/>
  <c r="I77" i="10"/>
  <c r="K81" i="10"/>
  <c r="L168" i="10"/>
  <c r="O168" i="10" s="1"/>
  <c r="O170" i="10"/>
  <c r="O787" i="10"/>
  <c r="L786" i="10"/>
  <c r="O786" i="10" s="1"/>
  <c r="I260" i="5"/>
  <c r="K260" i="5" s="1"/>
  <c r="L229" i="6"/>
  <c r="N121" i="8"/>
  <c r="N119" i="8" s="1"/>
  <c r="N151" i="8"/>
  <c r="K176" i="8"/>
  <c r="L446" i="8"/>
  <c r="L444" i="8" s="1"/>
  <c r="O444" i="8" s="1"/>
  <c r="K826" i="8"/>
  <c r="P124" i="9"/>
  <c r="L167" i="9"/>
  <c r="L165" i="9" s="1"/>
  <c r="P168" i="9"/>
  <c r="L183" i="9"/>
  <c r="L181" i="9" s="1"/>
  <c r="P184" i="9"/>
  <c r="L229" i="9"/>
  <c r="M267" i="9"/>
  <c r="P267" i="9" s="1"/>
  <c r="M283" i="9"/>
  <c r="P283" i="9" s="1"/>
  <c r="I297" i="9"/>
  <c r="K297" i="9" s="1"/>
  <c r="M300" i="9"/>
  <c r="M298" i="9" s="1"/>
  <c r="O348" i="9"/>
  <c r="K379" i="9"/>
  <c r="O690" i="9"/>
  <c r="L687" i="9"/>
  <c r="O22" i="10"/>
  <c r="L19" i="10"/>
  <c r="L12" i="10"/>
  <c r="O35" i="10"/>
  <c r="L91" i="10"/>
  <c r="O93" i="10"/>
  <c r="L171" i="10"/>
  <c r="O171" i="10" s="1"/>
  <c r="O173" i="10"/>
  <c r="L321" i="10"/>
  <c r="O321" i="10" s="1"/>
  <c r="O323" i="10"/>
  <c r="P738" i="10"/>
  <c r="M737" i="10"/>
  <c r="P737" i="10" s="1"/>
  <c r="P771" i="10"/>
  <c r="M770" i="10"/>
  <c r="P770" i="10" s="1"/>
  <c r="L155" i="7"/>
  <c r="O155" i="7" s="1"/>
  <c r="I785" i="10"/>
  <c r="K785" i="10" s="1"/>
  <c r="K800" i="10"/>
  <c r="L47" i="4"/>
  <c r="O47" i="4" s="1"/>
  <c r="M301" i="7"/>
  <c r="P301" i="7" s="1"/>
  <c r="M121" i="8"/>
  <c r="P121" i="8" s="1"/>
  <c r="L330" i="8"/>
  <c r="L328" i="8" s="1"/>
  <c r="L334" i="8"/>
  <c r="O334" i="8" s="1"/>
  <c r="O791" i="8"/>
  <c r="L55" i="9"/>
  <c r="L53" i="9" s="1"/>
  <c r="L90" i="9"/>
  <c r="L88" i="9" s="1"/>
  <c r="P96" i="9"/>
  <c r="P306" i="9"/>
  <c r="J327" i="9"/>
  <c r="K327" i="9" s="1"/>
  <c r="P348" i="9"/>
  <c r="L94" i="10"/>
  <c r="O94" i="10" s="1"/>
  <c r="O96" i="10"/>
  <c r="P120" i="10"/>
  <c r="N151" i="10"/>
  <c r="N149" i="10" s="1"/>
  <c r="L184" i="10"/>
  <c r="O184" i="10" s="1"/>
  <c r="O186" i="10"/>
  <c r="I164" i="10"/>
  <c r="K164" i="10" s="1"/>
  <c r="K174" i="10"/>
  <c r="I208" i="6"/>
  <c r="K208" i="6" s="1"/>
  <c r="K111" i="7"/>
  <c r="O282" i="7"/>
  <c r="M317" i="7"/>
  <c r="P317" i="7" s="1"/>
  <c r="O170" i="8"/>
  <c r="L447" i="8"/>
  <c r="O447" i="8" s="1"/>
  <c r="M26" i="9"/>
  <c r="M16" i="9" s="1"/>
  <c r="M43" i="9"/>
  <c r="M41" i="9" s="1"/>
  <c r="M55" i="9"/>
  <c r="M53" i="9" s="1"/>
  <c r="L68" i="9"/>
  <c r="L66" i="9" s="1"/>
  <c r="P91" i="9"/>
  <c r="L168" i="9"/>
  <c r="O168" i="9" s="1"/>
  <c r="L187" i="9"/>
  <c r="O187" i="9" s="1"/>
  <c r="O320" i="9"/>
  <c r="N347" i="9"/>
  <c r="N345" i="9" s="1"/>
  <c r="M404" i="9"/>
  <c r="P404" i="9" s="1"/>
  <c r="L408" i="9"/>
  <c r="O408" i="9" s="1"/>
  <c r="L23" i="10"/>
  <c r="P54" i="10"/>
  <c r="M53" i="10"/>
  <c r="P150" i="10"/>
  <c r="L187" i="10"/>
  <c r="O187" i="10" s="1"/>
  <c r="O189" i="10"/>
  <c r="N264" i="10"/>
  <c r="O264" i="10" s="1"/>
  <c r="N263" i="10"/>
  <c r="O263" i="10" s="1"/>
  <c r="O266" i="10"/>
  <c r="O806" i="10"/>
  <c r="L805" i="10"/>
  <c r="O805" i="10" s="1"/>
  <c r="K99" i="7"/>
  <c r="O184" i="7"/>
  <c r="M68" i="8"/>
  <c r="P68" i="8" s="1"/>
  <c r="N68" i="9"/>
  <c r="N66" i="9" s="1"/>
  <c r="M151" i="9"/>
  <c r="M149" i="9" s="1"/>
  <c r="P149" i="9" s="1"/>
  <c r="P157" i="9"/>
  <c r="O173" i="9"/>
  <c r="L249" i="9"/>
  <c r="O249" i="9" s="1"/>
  <c r="N330" i="9"/>
  <c r="N328" i="9" s="1"/>
  <c r="K338" i="9"/>
  <c r="M351" i="9"/>
  <c r="K385" i="9"/>
  <c r="M391" i="9"/>
  <c r="P391" i="9" s="1"/>
  <c r="I433" i="9"/>
  <c r="I417" i="9" s="1"/>
  <c r="L470" i="9"/>
  <c r="O470" i="9" s="1"/>
  <c r="O472" i="9"/>
  <c r="N56" i="10"/>
  <c r="P58" i="10"/>
  <c r="O58" i="10"/>
  <c r="N23" i="10"/>
  <c r="I76" i="10"/>
  <c r="N405" i="10"/>
  <c r="N404" i="10"/>
  <c r="N402" i="10" s="1"/>
  <c r="J365" i="10"/>
  <c r="K372" i="10"/>
  <c r="J722" i="9"/>
  <c r="K824" i="9"/>
  <c r="L26" i="10"/>
  <c r="L24" i="10" s="1"/>
  <c r="M34" i="10"/>
  <c r="P34" i="10" s="1"/>
  <c r="N47" i="10"/>
  <c r="K146" i="10"/>
  <c r="I197" i="10"/>
  <c r="K197" i="10" s="1"/>
  <c r="K225" i="10"/>
  <c r="L238" i="10"/>
  <c r="O686" i="10"/>
  <c r="L685" i="10"/>
  <c r="O685" i="10" s="1"/>
  <c r="J433" i="9"/>
  <c r="J417" i="9" s="1"/>
  <c r="M26" i="10"/>
  <c r="L41" i="10"/>
  <c r="M165" i="10"/>
  <c r="M181" i="10"/>
  <c r="N300" i="10"/>
  <c r="N298" i="10" s="1"/>
  <c r="L632" i="10"/>
  <c r="O632" i="10" s="1"/>
  <c r="O634" i="10"/>
  <c r="P755" i="10"/>
  <c r="M754" i="10"/>
  <c r="P754" i="10" s="1"/>
  <c r="O634" i="9"/>
  <c r="M12" i="10"/>
  <c r="M19" i="10"/>
  <c r="O46" i="10"/>
  <c r="K99" i="10"/>
  <c r="L228" i="10"/>
  <c r="L249" i="10"/>
  <c r="O249" i="10" s="1"/>
  <c r="P299" i="10"/>
  <c r="J374" i="10"/>
  <c r="K374" i="10" s="1"/>
  <c r="K381" i="10"/>
  <c r="O468" i="10"/>
  <c r="P524" i="10"/>
  <c r="M523" i="10"/>
  <c r="P523" i="10" s="1"/>
  <c r="I522" i="10"/>
  <c r="K522" i="10" s="1"/>
  <c r="K537" i="10"/>
  <c r="J537" i="10"/>
  <c r="J522" i="10" s="1"/>
  <c r="N754" i="10"/>
  <c r="K828" i="9"/>
  <c r="L318" i="10"/>
  <c r="O318" i="10" s="1"/>
  <c r="O320" i="10"/>
  <c r="P403" i="10"/>
  <c r="M402" i="10"/>
  <c r="P402" i="10" s="1"/>
  <c r="M421" i="10"/>
  <c r="M422" i="10"/>
  <c r="P422" i="10" s="1"/>
  <c r="N504" i="10"/>
  <c r="N502" i="10" s="1"/>
  <c r="N414" i="10" s="1"/>
  <c r="N505" i="10"/>
  <c r="N523" i="10"/>
  <c r="M546" i="10"/>
  <c r="M547" i="10"/>
  <c r="L315" i="10"/>
  <c r="O315" i="10" s="1"/>
  <c r="I434" i="10"/>
  <c r="K460" i="10"/>
  <c r="O472" i="10"/>
  <c r="L502" i="10"/>
  <c r="O502" i="10" s="1"/>
  <c r="L629" i="10"/>
  <c r="O629" i="10" s="1"/>
  <c r="M685" i="10"/>
  <c r="P685" i="10" s="1"/>
  <c r="M786" i="10"/>
  <c r="P786" i="10" s="1"/>
  <c r="M805" i="10"/>
  <c r="P805" i="10" s="1"/>
  <c r="N547" i="10"/>
  <c r="K593" i="10"/>
  <c r="M629" i="10"/>
  <c r="P629" i="10" s="1"/>
  <c r="I164" i="8"/>
  <c r="K164" i="8" s="1"/>
  <c r="K174" i="8"/>
  <c r="I76" i="8"/>
  <c r="I64" i="8" s="1"/>
  <c r="K64" i="8" s="1"/>
  <c r="L122" i="8"/>
  <c r="O122" i="8" s="1"/>
  <c r="M183" i="8"/>
  <c r="L198" i="8"/>
  <c r="O198" i="8" s="1"/>
  <c r="M263" i="8"/>
  <c r="P263" i="8" s="1"/>
  <c r="L300" i="8"/>
  <c r="O300" i="8" s="1"/>
  <c r="M317" i="8"/>
  <c r="M315" i="8" s="1"/>
  <c r="P315" i="8" s="1"/>
  <c r="M23" i="9"/>
  <c r="N26" i="9"/>
  <c r="N16" i="9" s="1"/>
  <c r="N14" i="9" s="1"/>
  <c r="M47" i="9"/>
  <c r="P47" i="9" s="1"/>
  <c r="M59" i="9"/>
  <c r="P59" i="9" s="1"/>
  <c r="M90" i="9"/>
  <c r="M88" i="9" s="1"/>
  <c r="O96" i="9"/>
  <c r="M125" i="9"/>
  <c r="P125" i="9" s="1"/>
  <c r="O138" i="9"/>
  <c r="N151" i="9"/>
  <c r="N149" i="9" s="1"/>
  <c r="P173" i="9"/>
  <c r="N183" i="9"/>
  <c r="N181" i="9" s="1"/>
  <c r="I208" i="9"/>
  <c r="K208" i="9" s="1"/>
  <c r="L267" i="9"/>
  <c r="O267" i="9" s="1"/>
  <c r="M279" i="9"/>
  <c r="P279" i="9" s="1"/>
  <c r="L304" i="9"/>
  <c r="O304" i="9" s="1"/>
  <c r="N317" i="9"/>
  <c r="N315" i="9" s="1"/>
  <c r="K325" i="9"/>
  <c r="N351" i="9"/>
  <c r="K360" i="9"/>
  <c r="K369" i="9"/>
  <c r="I434" i="9"/>
  <c r="I418" i="9" s="1"/>
  <c r="K418" i="9" s="1"/>
  <c r="L446" i="9"/>
  <c r="O479" i="9"/>
  <c r="K594" i="9"/>
  <c r="L688" i="9"/>
  <c r="O688" i="9" s="1"/>
  <c r="K827" i="9"/>
  <c r="M90" i="7"/>
  <c r="M88" i="7" s="1"/>
  <c r="L94" i="7"/>
  <c r="O94" i="7" s="1"/>
  <c r="M321" i="7"/>
  <c r="P321" i="7" s="1"/>
  <c r="L183" i="8"/>
  <c r="L181" i="8" s="1"/>
  <c r="O186" i="8"/>
  <c r="L36" i="9"/>
  <c r="M121" i="9"/>
  <c r="L209" i="9"/>
  <c r="O209" i="9" s="1"/>
  <c r="M263" i="9"/>
  <c r="O333" i="9"/>
  <c r="K355" i="9"/>
  <c r="N391" i="9"/>
  <c r="N389" i="9" s="1"/>
  <c r="L526" i="9"/>
  <c r="O526" i="9" s="1"/>
  <c r="I148" i="3"/>
  <c r="K148" i="3" s="1"/>
  <c r="M122" i="7"/>
  <c r="P122" i="7" s="1"/>
  <c r="L151" i="8"/>
  <c r="O151" i="8" s="1"/>
  <c r="M167" i="8"/>
  <c r="N183" i="8"/>
  <c r="N181" i="8" s="1"/>
  <c r="O189" i="8"/>
  <c r="L454" i="8"/>
  <c r="O454" i="8" s="1"/>
  <c r="O456" i="8"/>
  <c r="O93" i="9"/>
  <c r="M152" i="9"/>
  <c r="P152" i="9" s="1"/>
  <c r="P170" i="9"/>
  <c r="P189" i="9"/>
  <c r="O306" i="9"/>
  <c r="L404" i="9"/>
  <c r="K370" i="7"/>
  <c r="N68" i="8"/>
  <c r="N66" i="8" s="1"/>
  <c r="I190" i="8"/>
  <c r="K190" i="8" s="1"/>
  <c r="N279" i="8"/>
  <c r="N277" i="8" s="1"/>
  <c r="N300" i="8"/>
  <c r="N298" i="8" s="1"/>
  <c r="K370" i="8"/>
  <c r="O58" i="9"/>
  <c r="N69" i="9"/>
  <c r="O69" i="9" s="1"/>
  <c r="P93" i="9"/>
  <c r="O140" i="9"/>
  <c r="M167" i="9"/>
  <c r="M165" i="9" s="1"/>
  <c r="O186" i="9"/>
  <c r="K224" i="9"/>
  <c r="M331" i="9"/>
  <c r="P331" i="9" s="1"/>
  <c r="O353" i="9"/>
  <c r="K462" i="9"/>
  <c r="L469" i="9"/>
  <c r="L467" i="9" s="1"/>
  <c r="O467" i="9" s="1"/>
  <c r="M472" i="9"/>
  <c r="M469" i="9" s="1"/>
  <c r="P469" i="9" s="1"/>
  <c r="L786" i="9"/>
  <c r="O786" i="9" s="1"/>
  <c r="J722" i="7"/>
  <c r="P56" i="8"/>
  <c r="L90" i="8"/>
  <c r="L88" i="8" s="1"/>
  <c r="K379" i="8"/>
  <c r="L43" i="9"/>
  <c r="L41" i="9" s="1"/>
  <c r="L26" i="9"/>
  <c r="L24" i="9" s="1"/>
  <c r="N55" i="9"/>
  <c r="N53" i="9" s="1"/>
  <c r="P58" i="9"/>
  <c r="L72" i="9"/>
  <c r="O72" i="9" s="1"/>
  <c r="J143" i="9"/>
  <c r="J131" i="9" s="1"/>
  <c r="P186" i="9"/>
  <c r="L198" i="9"/>
  <c r="O198" i="9" s="1"/>
  <c r="L238" i="9"/>
  <c r="M321" i="9"/>
  <c r="P321" i="9" s="1"/>
  <c r="K362" i="9"/>
  <c r="L395" i="9"/>
  <c r="O395" i="9" s="1"/>
  <c r="K620" i="9"/>
  <c r="O641" i="9"/>
  <c r="M94" i="7"/>
  <c r="P94" i="7" s="1"/>
  <c r="M55" i="8"/>
  <c r="M53" i="8" s="1"/>
  <c r="P12" i="9"/>
  <c r="M9" i="9"/>
  <c r="O32" i="9"/>
  <c r="L29" i="9"/>
  <c r="O46" i="9"/>
  <c r="I77" i="9"/>
  <c r="K79" i="9"/>
  <c r="O127" i="9"/>
  <c r="L125" i="9"/>
  <c r="O125" i="9" s="1"/>
  <c r="O154" i="9"/>
  <c r="L151" i="9"/>
  <c r="O151" i="9" s="1"/>
  <c r="L152" i="9"/>
  <c r="O152" i="9" s="1"/>
  <c r="O390" i="9"/>
  <c r="O549" i="9"/>
  <c r="M549" i="9"/>
  <c r="L546" i="9"/>
  <c r="L33" i="9"/>
  <c r="L547" i="9"/>
  <c r="O547" i="9" s="1"/>
  <c r="I592" i="9"/>
  <c r="K592" i="9" s="1"/>
  <c r="K593" i="9"/>
  <c r="N94" i="9"/>
  <c r="N90" i="9"/>
  <c r="L230" i="3"/>
  <c r="M167" i="7"/>
  <c r="M165" i="7" s="1"/>
  <c r="M183" i="7"/>
  <c r="M181" i="7" s="1"/>
  <c r="L688" i="7"/>
  <c r="L43" i="8"/>
  <c r="M90" i="8"/>
  <c r="K99" i="8"/>
  <c r="I112" i="8"/>
  <c r="K112" i="8" s="1"/>
  <c r="I216" i="8"/>
  <c r="K216" i="8" s="1"/>
  <c r="P397" i="8"/>
  <c r="M395" i="8"/>
  <c r="P395" i="8" s="1"/>
  <c r="I522" i="8"/>
  <c r="K522" i="8" s="1"/>
  <c r="K537" i="8"/>
  <c r="N9" i="9"/>
  <c r="O25" i="9"/>
  <c r="L15" i="9"/>
  <c r="P32" i="9"/>
  <c r="M29" i="9"/>
  <c r="I76" i="9"/>
  <c r="N135" i="9"/>
  <c r="O135" i="9" s="1"/>
  <c r="N134" i="9"/>
  <c r="N132" i="9" s="1"/>
  <c r="N280" i="9"/>
  <c r="N279" i="9"/>
  <c r="N277" i="9" s="1"/>
  <c r="K287" i="9"/>
  <c r="O316" i="9"/>
  <c r="L321" i="9"/>
  <c r="O321" i="9" s="1"/>
  <c r="L317" i="9"/>
  <c r="O317" i="9" s="1"/>
  <c r="O323" i="9"/>
  <c r="P738" i="9"/>
  <c r="M737" i="9"/>
  <c r="P737" i="9" s="1"/>
  <c r="K288" i="8"/>
  <c r="I275" i="8"/>
  <c r="K275" i="8" s="1"/>
  <c r="M690" i="8"/>
  <c r="P690" i="8" s="1"/>
  <c r="O690" i="8"/>
  <c r="L687" i="8"/>
  <c r="P19" i="9"/>
  <c r="I87" i="9"/>
  <c r="K87" i="9" s="1"/>
  <c r="K99" i="9"/>
  <c r="I522" i="7"/>
  <c r="K522" i="7" s="1"/>
  <c r="M138" i="8"/>
  <c r="P138" i="8" s="1"/>
  <c r="O282" i="8"/>
  <c r="L280" i="8"/>
  <c r="O280" i="8" s="1"/>
  <c r="P394" i="8"/>
  <c r="M391" i="8"/>
  <c r="P391" i="8" s="1"/>
  <c r="P25" i="9"/>
  <c r="M15" i="9"/>
  <c r="N88" i="9"/>
  <c r="L121" i="9"/>
  <c r="O121" i="9" s="1"/>
  <c r="I174" i="9"/>
  <c r="K176" i="9"/>
  <c r="O336" i="9"/>
  <c r="L330" i="9"/>
  <c r="N44" i="9"/>
  <c r="N23" i="9"/>
  <c r="P46" i="9"/>
  <c r="L69" i="7"/>
  <c r="O69" i="7" s="1"/>
  <c r="L318" i="7"/>
  <c r="O318" i="7" s="1"/>
  <c r="J327" i="7"/>
  <c r="K327" i="7" s="1"/>
  <c r="K443" i="7"/>
  <c r="O61" i="8"/>
  <c r="J327" i="8"/>
  <c r="K327" i="8" s="1"/>
  <c r="I112" i="9"/>
  <c r="K112" i="9" s="1"/>
  <c r="K115" i="9"/>
  <c r="I233" i="9"/>
  <c r="K233" i="9" s="1"/>
  <c r="I237" i="9"/>
  <c r="K244" i="9"/>
  <c r="P336" i="9"/>
  <c r="M330" i="9"/>
  <c r="M334" i="9"/>
  <c r="P334" i="9" s="1"/>
  <c r="P403" i="9"/>
  <c r="K437" i="9"/>
  <c r="O504" i="9"/>
  <c r="L502" i="9"/>
  <c r="O502" i="9" s="1"/>
  <c r="P336" i="8"/>
  <c r="M334" i="8"/>
  <c r="P334" i="8" s="1"/>
  <c r="O407" i="8"/>
  <c r="L405" i="8"/>
  <c r="O405" i="8" s="1"/>
  <c r="O12" i="9"/>
  <c r="L9" i="9"/>
  <c r="M167" i="5"/>
  <c r="P167" i="5" s="1"/>
  <c r="M183" i="5"/>
  <c r="M181" i="5" s="1"/>
  <c r="L121" i="7"/>
  <c r="O121" i="7" s="1"/>
  <c r="N121" i="7"/>
  <c r="N119" i="7" s="1"/>
  <c r="I130" i="7"/>
  <c r="K130" i="7" s="1"/>
  <c r="P137" i="7"/>
  <c r="L230" i="7"/>
  <c r="P348" i="7"/>
  <c r="K381" i="7"/>
  <c r="P59" i="8"/>
  <c r="K98" i="8"/>
  <c r="N167" i="8"/>
  <c r="N165" i="8" s="1"/>
  <c r="N184" i="8"/>
  <c r="O184" i="8" s="1"/>
  <c r="K369" i="8"/>
  <c r="K372" i="8"/>
  <c r="N30" i="9"/>
  <c r="N28" i="9" s="1"/>
  <c r="N31" i="9"/>
  <c r="P56" i="9"/>
  <c r="L59" i="9"/>
  <c r="O59" i="9" s="1"/>
  <c r="K144" i="9"/>
  <c r="O266" i="9"/>
  <c r="L263" i="9"/>
  <c r="L264" i="9"/>
  <c r="O264" i="9" s="1"/>
  <c r="N301" i="9"/>
  <c r="P303" i="9"/>
  <c r="N300" i="9"/>
  <c r="O303" i="9"/>
  <c r="L334" i="9"/>
  <c r="O334" i="9" s="1"/>
  <c r="M389" i="9"/>
  <c r="P389" i="9" s="1"/>
  <c r="N391" i="8"/>
  <c r="N389" i="8" s="1"/>
  <c r="K828" i="8"/>
  <c r="L23" i="9"/>
  <c r="M72" i="9"/>
  <c r="P72" i="9" s="1"/>
  <c r="L132" i="9"/>
  <c r="M138" i="9"/>
  <c r="P138" i="9" s="1"/>
  <c r="P140" i="9"/>
  <c r="L228" i="9"/>
  <c r="O285" i="9"/>
  <c r="L279" i="9"/>
  <c r="L283" i="9"/>
  <c r="O283" i="9" s="1"/>
  <c r="O350" i="9"/>
  <c r="L347" i="9"/>
  <c r="M446" i="9"/>
  <c r="M447" i="9"/>
  <c r="P447" i="9" s="1"/>
  <c r="P449" i="9"/>
  <c r="I442" i="9"/>
  <c r="K442" i="9" s="1"/>
  <c r="K460" i="9"/>
  <c r="K675" i="9"/>
  <c r="L789" i="9"/>
  <c r="O789" i="9" s="1"/>
  <c r="O791" i="9"/>
  <c r="N280" i="8"/>
  <c r="K338" i="8"/>
  <c r="M405" i="8"/>
  <c r="P405" i="8" s="1"/>
  <c r="L47" i="9"/>
  <c r="O47" i="9" s="1"/>
  <c r="M69" i="9"/>
  <c r="M347" i="9"/>
  <c r="P350" i="9"/>
  <c r="O424" i="9"/>
  <c r="L421" i="9"/>
  <c r="O421" i="9" s="1"/>
  <c r="I522" i="9"/>
  <c r="K522" i="9" s="1"/>
  <c r="K537" i="9"/>
  <c r="J537" i="9"/>
  <c r="J522" i="9" s="1"/>
  <c r="P630" i="9"/>
  <c r="M629" i="9"/>
  <c r="P629" i="9" s="1"/>
  <c r="P755" i="9"/>
  <c r="M754" i="9"/>
  <c r="P754" i="9" s="1"/>
  <c r="L347" i="8"/>
  <c r="L345" i="8" s="1"/>
  <c r="J537" i="8"/>
  <c r="J522" i="8" s="1"/>
  <c r="O329" i="9"/>
  <c r="M421" i="9"/>
  <c r="P424" i="9"/>
  <c r="L318" i="8"/>
  <c r="O318" i="8" s="1"/>
  <c r="M321" i="8"/>
  <c r="P321" i="8" s="1"/>
  <c r="L408" i="8"/>
  <c r="O408" i="8" s="1"/>
  <c r="K821" i="8"/>
  <c r="K824" i="8"/>
  <c r="M68" i="9"/>
  <c r="L122" i="9"/>
  <c r="O122" i="9" s="1"/>
  <c r="M135" i="9"/>
  <c r="P137" i="9"/>
  <c r="L155" i="9"/>
  <c r="O155" i="9" s="1"/>
  <c r="M181" i="9"/>
  <c r="K225" i="9"/>
  <c r="I260" i="9"/>
  <c r="K260" i="9" s="1"/>
  <c r="P299" i="9"/>
  <c r="J365" i="9"/>
  <c r="K372" i="9"/>
  <c r="L391" i="9"/>
  <c r="O391" i="9" s="1"/>
  <c r="M395" i="9"/>
  <c r="P395" i="9" s="1"/>
  <c r="N404" i="9"/>
  <c r="N402" i="9" s="1"/>
  <c r="O657" i="9"/>
  <c r="L655" i="9"/>
  <c r="O655" i="9" s="1"/>
  <c r="O660" i="9"/>
  <c r="M660" i="9"/>
  <c r="L658" i="9"/>
  <c r="O658" i="9" s="1"/>
  <c r="O738" i="9"/>
  <c r="L737" i="9"/>
  <c r="O737" i="9" s="1"/>
  <c r="L629" i="9"/>
  <c r="O629" i="9" s="1"/>
  <c r="P686" i="9"/>
  <c r="M685" i="9"/>
  <c r="P685" i="9" s="1"/>
  <c r="L754" i="9"/>
  <c r="O754" i="9" s="1"/>
  <c r="M770" i="9"/>
  <c r="P770" i="9" s="1"/>
  <c r="I785" i="9"/>
  <c r="K785" i="9" s="1"/>
  <c r="K800" i="9"/>
  <c r="I143" i="9"/>
  <c r="I248" i="9"/>
  <c r="K248" i="9" s="1"/>
  <c r="L331" i="9"/>
  <c r="O331" i="9" s="1"/>
  <c r="L351" i="9"/>
  <c r="L392" i="9"/>
  <c r="O392" i="9" s="1"/>
  <c r="L429" i="9"/>
  <c r="O429" i="9" s="1"/>
  <c r="P503" i="9"/>
  <c r="M502" i="9"/>
  <c r="P502" i="9" s="1"/>
  <c r="L555" i="9"/>
  <c r="O555" i="9" s="1"/>
  <c r="I628" i="9"/>
  <c r="K628" i="9" s="1"/>
  <c r="K651" i="9"/>
  <c r="P787" i="9"/>
  <c r="M786" i="9"/>
  <c r="P786" i="9" s="1"/>
  <c r="K823" i="9"/>
  <c r="K443" i="9"/>
  <c r="N467" i="9"/>
  <c r="N414" i="9" s="1"/>
  <c r="P555" i="9"/>
  <c r="M545" i="9"/>
  <c r="I559" i="9"/>
  <c r="K576" i="9"/>
  <c r="P806" i="9"/>
  <c r="M805" i="9"/>
  <c r="P805" i="9" s="1"/>
  <c r="K821" i="9"/>
  <c r="N264" i="8"/>
  <c r="O264" i="8" s="1"/>
  <c r="P157" i="3"/>
  <c r="M263" i="4"/>
  <c r="M261" i="4" s="1"/>
  <c r="I443" i="5"/>
  <c r="K443" i="5" s="1"/>
  <c r="L658" i="5"/>
  <c r="O658" i="5" s="1"/>
  <c r="M59" i="6"/>
  <c r="P59" i="6" s="1"/>
  <c r="L657" i="6"/>
  <c r="L655" i="6" s="1"/>
  <c r="O655" i="6" s="1"/>
  <c r="O660" i="6"/>
  <c r="P170" i="7"/>
  <c r="M304" i="7"/>
  <c r="P304" i="7" s="1"/>
  <c r="K340" i="7"/>
  <c r="O348" i="7"/>
  <c r="L687" i="7"/>
  <c r="L685" i="7" s="1"/>
  <c r="O685" i="7" s="1"/>
  <c r="N23" i="8"/>
  <c r="N13" i="8" s="1"/>
  <c r="N55" i="8"/>
  <c r="M69" i="8"/>
  <c r="P69" i="8" s="1"/>
  <c r="I77" i="8"/>
  <c r="K77" i="8" s="1"/>
  <c r="N90" i="8"/>
  <c r="N122" i="8"/>
  <c r="N168" i="8"/>
  <c r="O168" i="8" s="1"/>
  <c r="L217" i="8"/>
  <c r="O217" i="8" s="1"/>
  <c r="L229" i="8"/>
  <c r="L263" i="8"/>
  <c r="O263" i="8" s="1"/>
  <c r="O266" i="8"/>
  <c r="I276" i="8"/>
  <c r="K276" i="8" s="1"/>
  <c r="K309" i="8"/>
  <c r="N317" i="8"/>
  <c r="N315" i="8" s="1"/>
  <c r="K378" i="8"/>
  <c r="K385" i="8"/>
  <c r="N395" i="8"/>
  <c r="L402" i="8"/>
  <c r="O402" i="8" s="1"/>
  <c r="M404" i="8"/>
  <c r="I433" i="8"/>
  <c r="I417" i="8" s="1"/>
  <c r="K437" i="8"/>
  <c r="K460" i="8"/>
  <c r="K539" i="8"/>
  <c r="K594" i="8"/>
  <c r="K827" i="8"/>
  <c r="L121" i="4"/>
  <c r="O121" i="4" s="1"/>
  <c r="K537" i="6"/>
  <c r="M264" i="7"/>
  <c r="P264" i="7" s="1"/>
  <c r="M391" i="7"/>
  <c r="P391" i="7" s="1"/>
  <c r="P71" i="8"/>
  <c r="L94" i="8"/>
  <c r="O94" i="8" s="1"/>
  <c r="L121" i="8"/>
  <c r="O121" i="8" s="1"/>
  <c r="L125" i="8"/>
  <c r="O125" i="8" s="1"/>
  <c r="M135" i="8"/>
  <c r="P135" i="8" s="1"/>
  <c r="P137" i="8"/>
  <c r="I148" i="8"/>
  <c r="K148" i="8" s="1"/>
  <c r="N149" i="8"/>
  <c r="L152" i="8"/>
  <c r="O152" i="8" s="1"/>
  <c r="L167" i="8"/>
  <c r="L171" i="8"/>
  <c r="O171" i="8" s="1"/>
  <c r="L267" i="8"/>
  <c r="O267" i="8" s="1"/>
  <c r="L279" i="8"/>
  <c r="O279" i="8" s="1"/>
  <c r="M348" i="8"/>
  <c r="L351" i="8"/>
  <c r="L469" i="8"/>
  <c r="L467" i="8" s="1"/>
  <c r="O467" i="8" s="1"/>
  <c r="L631" i="8"/>
  <c r="L786" i="8"/>
  <c r="O786" i="8" s="1"/>
  <c r="K825" i="8"/>
  <c r="K675" i="8"/>
  <c r="L318" i="5"/>
  <c r="O318" i="5" s="1"/>
  <c r="L90" i="7"/>
  <c r="L88" i="7" s="1"/>
  <c r="L122" i="7"/>
  <c r="O122" i="7" s="1"/>
  <c r="L187" i="7"/>
  <c r="O187" i="7" s="1"/>
  <c r="L209" i="7"/>
  <c r="O209" i="7" s="1"/>
  <c r="K723" i="7"/>
  <c r="N44" i="8"/>
  <c r="P44" i="8" s="1"/>
  <c r="O56" i="8"/>
  <c r="M72" i="8"/>
  <c r="P72" i="8" s="1"/>
  <c r="K78" i="8"/>
  <c r="O96" i="8"/>
  <c r="O154" i="8"/>
  <c r="K374" i="8"/>
  <c r="N402" i="8"/>
  <c r="L525" i="8"/>
  <c r="J722" i="8"/>
  <c r="O168" i="6"/>
  <c r="O168" i="7"/>
  <c r="I434" i="7"/>
  <c r="I418" i="7" s="1"/>
  <c r="K418" i="7" s="1"/>
  <c r="O634" i="7"/>
  <c r="M47" i="8"/>
  <c r="P47" i="8" s="1"/>
  <c r="O58" i="8"/>
  <c r="N72" i="8"/>
  <c r="J143" i="8"/>
  <c r="J131" i="8" s="1"/>
  <c r="L155" i="8"/>
  <c r="O155" i="8" s="1"/>
  <c r="I233" i="8"/>
  <c r="K233" i="8" s="1"/>
  <c r="P320" i="8"/>
  <c r="M330" i="8"/>
  <c r="M328" i="8" s="1"/>
  <c r="K674" i="8"/>
  <c r="N122" i="7"/>
  <c r="L135" i="7"/>
  <c r="O135" i="7" s="1"/>
  <c r="P282" i="7"/>
  <c r="I297" i="7"/>
  <c r="K297" i="7" s="1"/>
  <c r="O424" i="7"/>
  <c r="L631" i="7"/>
  <c r="L629" i="7" s="1"/>
  <c r="O629" i="7" s="1"/>
  <c r="M43" i="8"/>
  <c r="L55" i="8"/>
  <c r="L59" i="8"/>
  <c r="O59" i="8" s="1"/>
  <c r="O91" i="8"/>
  <c r="M151" i="8"/>
  <c r="I208" i="8"/>
  <c r="K208" i="8" s="1"/>
  <c r="L209" i="8"/>
  <c r="O209" i="8" s="1"/>
  <c r="I260" i="8"/>
  <c r="K260" i="8" s="1"/>
  <c r="N261" i="8"/>
  <c r="L283" i="8"/>
  <c r="O283" i="8" s="1"/>
  <c r="M301" i="8"/>
  <c r="P301" i="8" s="1"/>
  <c r="L317" i="8"/>
  <c r="L321" i="8"/>
  <c r="O321" i="8" s="1"/>
  <c r="K365" i="8"/>
  <c r="M392" i="8"/>
  <c r="P392" i="8" s="1"/>
  <c r="O634" i="8"/>
  <c r="L688" i="8"/>
  <c r="O688" i="8" s="1"/>
  <c r="J721" i="8"/>
  <c r="L392" i="7"/>
  <c r="O392" i="7" s="1"/>
  <c r="O394" i="7"/>
  <c r="M300" i="4"/>
  <c r="N68" i="6"/>
  <c r="N66" i="6" s="1"/>
  <c r="K309" i="6"/>
  <c r="N404" i="6"/>
  <c r="N402" i="6" s="1"/>
  <c r="L151" i="7"/>
  <c r="O151" i="7" s="1"/>
  <c r="M171" i="7"/>
  <c r="P171" i="7" s="1"/>
  <c r="M184" i="7"/>
  <c r="P184" i="7" s="1"/>
  <c r="L198" i="7"/>
  <c r="O198" i="7" s="1"/>
  <c r="L421" i="7"/>
  <c r="L419" i="7" s="1"/>
  <c r="L429" i="7"/>
  <c r="O429" i="7" s="1"/>
  <c r="P22" i="8"/>
  <c r="M19" i="8"/>
  <c r="M12" i="8"/>
  <c r="L66" i="8"/>
  <c r="O66" i="8" s="1"/>
  <c r="L138" i="8"/>
  <c r="O138" i="8" s="1"/>
  <c r="O140" i="8"/>
  <c r="O166" i="8"/>
  <c r="J226" i="8"/>
  <c r="J180" i="8" s="1"/>
  <c r="O299" i="8"/>
  <c r="O431" i="8"/>
  <c r="L421" i="8"/>
  <c r="L36" i="8"/>
  <c r="L429" i="8"/>
  <c r="O429" i="8" s="1"/>
  <c r="P771" i="8"/>
  <c r="M770" i="8"/>
  <c r="P770" i="8" s="1"/>
  <c r="P35" i="8"/>
  <c r="M34" i="8"/>
  <c r="P34" i="8" s="1"/>
  <c r="M187" i="3"/>
  <c r="P187" i="3" s="1"/>
  <c r="L347" i="5"/>
  <c r="L345" i="5" s="1"/>
  <c r="J721" i="5"/>
  <c r="M43" i="6"/>
  <c r="L283" i="6"/>
  <c r="O283" i="6" s="1"/>
  <c r="K699" i="6"/>
  <c r="L47" i="7"/>
  <c r="O47" i="7" s="1"/>
  <c r="N23" i="7"/>
  <c r="N13" i="7" s="1"/>
  <c r="N11" i="7" s="1"/>
  <c r="L152" i="7"/>
  <c r="O152" i="7" s="1"/>
  <c r="O186" i="7"/>
  <c r="K215" i="7"/>
  <c r="L217" i="7"/>
  <c r="O217" i="7" s="1"/>
  <c r="K224" i="7"/>
  <c r="L228" i="7"/>
  <c r="L639" i="7"/>
  <c r="O639" i="7" s="1"/>
  <c r="O641" i="7"/>
  <c r="K725" i="7"/>
  <c r="K823" i="7"/>
  <c r="K826" i="7"/>
  <c r="L44" i="8"/>
  <c r="L23" i="8"/>
  <c r="O46" i="8"/>
  <c r="L69" i="8"/>
  <c r="O69" i="8" s="1"/>
  <c r="O71" i="8"/>
  <c r="I130" i="8"/>
  <c r="K130" i="8" s="1"/>
  <c r="K146" i="8"/>
  <c r="M168" i="8"/>
  <c r="P170" i="8"/>
  <c r="O182" i="8"/>
  <c r="M184" i="8"/>
  <c r="P186" i="8"/>
  <c r="O549" i="8"/>
  <c r="M549" i="8"/>
  <c r="L546" i="8"/>
  <c r="L547" i="8"/>
  <c r="O547" i="8" s="1"/>
  <c r="L33" i="8"/>
  <c r="O351" i="4"/>
  <c r="L429" i="6"/>
  <c r="O429" i="6" s="1"/>
  <c r="L151" i="3"/>
  <c r="L149" i="3" s="1"/>
  <c r="L168" i="3"/>
  <c r="O168" i="3" s="1"/>
  <c r="M135" i="6"/>
  <c r="P135" i="6" s="1"/>
  <c r="L231" i="6"/>
  <c r="O266" i="6"/>
  <c r="L421" i="6"/>
  <c r="L470" i="6"/>
  <c r="L72" i="7"/>
  <c r="O72" i="7" s="1"/>
  <c r="L279" i="7"/>
  <c r="L277" i="7" s="1"/>
  <c r="O277" i="7" s="1"/>
  <c r="L283" i="7"/>
  <c r="O283" i="7" s="1"/>
  <c r="M88" i="8"/>
  <c r="M91" i="8"/>
  <c r="P91" i="8" s="1"/>
  <c r="M23" i="8"/>
  <c r="M21" i="8" s="1"/>
  <c r="P93" i="8"/>
  <c r="L228" i="8"/>
  <c r="L249" i="8"/>
  <c r="O249" i="8" s="1"/>
  <c r="P468" i="8"/>
  <c r="L135" i="8"/>
  <c r="O135" i="8" s="1"/>
  <c r="O137" i="8"/>
  <c r="K204" i="8"/>
  <c r="I197" i="8"/>
  <c r="K197" i="8" s="1"/>
  <c r="I77" i="6"/>
  <c r="I65" i="6" s="1"/>
  <c r="K65" i="6" s="1"/>
  <c r="O124" i="6"/>
  <c r="K379" i="6"/>
  <c r="P49" i="7"/>
  <c r="L91" i="7"/>
  <c r="M125" i="7"/>
  <c r="P125" i="7" s="1"/>
  <c r="M187" i="7"/>
  <c r="P187" i="7" s="1"/>
  <c r="N279" i="7"/>
  <c r="N277" i="7" s="1"/>
  <c r="K365" i="7"/>
  <c r="N404" i="7"/>
  <c r="N402" i="7" s="1"/>
  <c r="M15" i="8"/>
  <c r="L47" i="8"/>
  <c r="O47" i="8" s="1"/>
  <c r="O49" i="8"/>
  <c r="L26" i="8"/>
  <c r="L72" i="8"/>
  <c r="O72" i="8" s="1"/>
  <c r="O74" i="8"/>
  <c r="O89" i="8"/>
  <c r="M94" i="8"/>
  <c r="P94" i="8" s="1"/>
  <c r="P96" i="8"/>
  <c r="M26" i="8"/>
  <c r="M171" i="8"/>
  <c r="P171" i="8" s="1"/>
  <c r="P173" i="8"/>
  <c r="M187" i="8"/>
  <c r="P187" i="8" s="1"/>
  <c r="P189" i="8"/>
  <c r="P306" i="8"/>
  <c r="M300" i="8"/>
  <c r="M304" i="8"/>
  <c r="P304" i="8" s="1"/>
  <c r="N351" i="8"/>
  <c r="P353" i="8"/>
  <c r="N347" i="8"/>
  <c r="O353" i="8"/>
  <c r="P503" i="8"/>
  <c r="M502" i="8"/>
  <c r="P502" i="8" s="1"/>
  <c r="L33" i="6"/>
  <c r="L31" i="6" s="1"/>
  <c r="M267" i="7"/>
  <c r="P267" i="7" s="1"/>
  <c r="M29" i="8"/>
  <c r="P58" i="3"/>
  <c r="I148" i="5"/>
  <c r="K148" i="5" s="1"/>
  <c r="O791" i="5"/>
  <c r="N317" i="6"/>
  <c r="N315" i="6" s="1"/>
  <c r="K359" i="6"/>
  <c r="K649" i="6"/>
  <c r="I197" i="7"/>
  <c r="K197" i="7" s="1"/>
  <c r="L231" i="7"/>
  <c r="O479" i="7"/>
  <c r="L134" i="8"/>
  <c r="L238" i="8"/>
  <c r="N331" i="8"/>
  <c r="P333" i="8"/>
  <c r="N330" i="8"/>
  <c r="N328" i="8" s="1"/>
  <c r="O333" i="8"/>
  <c r="O394" i="8"/>
  <c r="L391" i="8"/>
  <c r="O391" i="8" s="1"/>
  <c r="L392" i="8"/>
  <c r="O392" i="8" s="1"/>
  <c r="P630" i="8"/>
  <c r="M629" i="8"/>
  <c r="P629" i="8" s="1"/>
  <c r="P686" i="8"/>
  <c r="P58" i="8"/>
  <c r="P61" i="8"/>
  <c r="O120" i="8"/>
  <c r="P124" i="8"/>
  <c r="P127" i="8"/>
  <c r="O150" i="8"/>
  <c r="P154" i="8"/>
  <c r="P157" i="8"/>
  <c r="O262" i="8"/>
  <c r="P266" i="8"/>
  <c r="P269" i="8"/>
  <c r="M283" i="8"/>
  <c r="P283" i="8" s="1"/>
  <c r="P285" i="8"/>
  <c r="I418" i="8"/>
  <c r="K418" i="8" s="1"/>
  <c r="N467" i="8"/>
  <c r="N770" i="8"/>
  <c r="L470" i="7"/>
  <c r="K594" i="7"/>
  <c r="L12" i="8"/>
  <c r="L19" i="8"/>
  <c r="O93" i="8"/>
  <c r="K244" i="8"/>
  <c r="N348" i="8"/>
  <c r="P350" i="8"/>
  <c r="L555" i="8"/>
  <c r="O555" i="8" s="1"/>
  <c r="I559" i="8"/>
  <c r="K576" i="8"/>
  <c r="I592" i="8"/>
  <c r="K592" i="8" s="1"/>
  <c r="K593" i="8"/>
  <c r="L658" i="8"/>
  <c r="O658" i="8" s="1"/>
  <c r="I785" i="8"/>
  <c r="K785" i="8" s="1"/>
  <c r="K800" i="8"/>
  <c r="M330" i="7"/>
  <c r="M328" i="7" s="1"/>
  <c r="M347" i="7"/>
  <c r="M345" i="7" s="1"/>
  <c r="K362" i="7"/>
  <c r="M392" i="7"/>
  <c r="P392" i="7" s="1"/>
  <c r="M660" i="7"/>
  <c r="M658" i="7" s="1"/>
  <c r="P658" i="7" s="1"/>
  <c r="N26" i="8"/>
  <c r="M279" i="8"/>
  <c r="P279" i="8" s="1"/>
  <c r="I314" i="8"/>
  <c r="K314" i="8" s="1"/>
  <c r="K340" i="8"/>
  <c r="O350" i="8"/>
  <c r="L395" i="8"/>
  <c r="O395" i="8" s="1"/>
  <c r="N469" i="8"/>
  <c r="M469" i="8"/>
  <c r="M467" i="8" s="1"/>
  <c r="P467" i="8" s="1"/>
  <c r="M470" i="8"/>
  <c r="P470" i="8" s="1"/>
  <c r="P472" i="8"/>
  <c r="P555" i="8"/>
  <c r="M545" i="8"/>
  <c r="I628" i="8"/>
  <c r="K628" i="8" s="1"/>
  <c r="K651" i="8"/>
  <c r="N737" i="8"/>
  <c r="P787" i="8"/>
  <c r="M786" i="8"/>
  <c r="P786" i="8" s="1"/>
  <c r="K823" i="8"/>
  <c r="N300" i="7"/>
  <c r="N298" i="7" s="1"/>
  <c r="L317" i="7"/>
  <c r="O317" i="7" s="1"/>
  <c r="M334" i="7"/>
  <c r="P334" i="7" s="1"/>
  <c r="K360" i="7"/>
  <c r="P397" i="7"/>
  <c r="L301" i="8"/>
  <c r="O301" i="8" s="1"/>
  <c r="O303" i="8"/>
  <c r="P806" i="8"/>
  <c r="M805" i="8"/>
  <c r="P805" i="8" s="1"/>
  <c r="O350" i="7"/>
  <c r="K369" i="7"/>
  <c r="K728" i="7"/>
  <c r="I143" i="8"/>
  <c r="I248" i="8"/>
  <c r="M280" i="8"/>
  <c r="P280" i="8" s="1"/>
  <c r="P282" i="8"/>
  <c r="J288" i="8"/>
  <c r="J275" i="8" s="1"/>
  <c r="L304" i="8"/>
  <c r="O304" i="8" s="1"/>
  <c r="O306" i="8"/>
  <c r="O424" i="8"/>
  <c r="M424" i="8"/>
  <c r="K465" i="8"/>
  <c r="O472" i="8"/>
  <c r="L657" i="8"/>
  <c r="O657" i="8" s="1"/>
  <c r="M754" i="8"/>
  <c r="P754" i="8" s="1"/>
  <c r="M449" i="8"/>
  <c r="L470" i="8"/>
  <c r="O470" i="8" s="1"/>
  <c r="L477" i="8"/>
  <c r="O477" i="8" s="1"/>
  <c r="K672" i="8"/>
  <c r="K669" i="8"/>
  <c r="I131" i="7"/>
  <c r="K131" i="7" s="1"/>
  <c r="K143" i="7"/>
  <c r="M470" i="7"/>
  <c r="P472" i="7"/>
  <c r="M469" i="7"/>
  <c r="M467" i="7" s="1"/>
  <c r="L687" i="3"/>
  <c r="O687" i="3" s="1"/>
  <c r="N121" i="4"/>
  <c r="N119" i="4" s="1"/>
  <c r="O49" i="5"/>
  <c r="N183" i="5"/>
  <c r="M267" i="5"/>
  <c r="P267" i="5" s="1"/>
  <c r="O269" i="5"/>
  <c r="N43" i="6"/>
  <c r="N41" i="6" s="1"/>
  <c r="M47" i="6"/>
  <c r="P47" i="6" s="1"/>
  <c r="M138" i="6"/>
  <c r="P138" i="6" s="1"/>
  <c r="N183" i="6"/>
  <c r="N181" i="6" s="1"/>
  <c r="I190" i="6"/>
  <c r="K190" i="6" s="1"/>
  <c r="M317" i="6"/>
  <c r="P317" i="6" s="1"/>
  <c r="K435" i="6"/>
  <c r="L789" i="6"/>
  <c r="O789" i="6" s="1"/>
  <c r="L36" i="7"/>
  <c r="O36" i="7" s="1"/>
  <c r="N56" i="7"/>
  <c r="O56" i="7" s="1"/>
  <c r="L68" i="7"/>
  <c r="O68" i="7" s="1"/>
  <c r="I76" i="7"/>
  <c r="K76" i="7" s="1"/>
  <c r="M121" i="7"/>
  <c r="P121" i="7" s="1"/>
  <c r="L134" i="7"/>
  <c r="L138" i="7"/>
  <c r="O138" i="7" s="1"/>
  <c r="K145" i="7"/>
  <c r="N151" i="7"/>
  <c r="N149" i="7" s="1"/>
  <c r="I174" i="7"/>
  <c r="K174" i="7" s="1"/>
  <c r="N183" i="7"/>
  <c r="K271" i="7"/>
  <c r="M318" i="7"/>
  <c r="P318" i="7" s="1"/>
  <c r="M351" i="7"/>
  <c r="P351" i="7" s="1"/>
  <c r="N391" i="7"/>
  <c r="N389" i="7" s="1"/>
  <c r="M404" i="7"/>
  <c r="P404" i="7" s="1"/>
  <c r="O431" i="7"/>
  <c r="K435" i="7"/>
  <c r="M688" i="7"/>
  <c r="L789" i="7"/>
  <c r="O789" i="7" s="1"/>
  <c r="L125" i="7"/>
  <c r="O125" i="7" s="1"/>
  <c r="O186" i="2"/>
  <c r="M187" i="5"/>
  <c r="P187" i="5" s="1"/>
  <c r="M395" i="5"/>
  <c r="P395" i="5" s="1"/>
  <c r="L454" i="5"/>
  <c r="O454" i="5" s="1"/>
  <c r="M171" i="6"/>
  <c r="P171" i="6" s="1"/>
  <c r="L330" i="6"/>
  <c r="L328" i="6" s="1"/>
  <c r="J327" i="6"/>
  <c r="K327" i="6" s="1"/>
  <c r="L43" i="7"/>
  <c r="L41" i="7" s="1"/>
  <c r="M68" i="7"/>
  <c r="M66" i="7" s="1"/>
  <c r="P66" i="7" s="1"/>
  <c r="N134" i="7"/>
  <c r="N132" i="7" s="1"/>
  <c r="P168" i="7"/>
  <c r="L183" i="7"/>
  <c r="L181" i="7" s="1"/>
  <c r="L249" i="7"/>
  <c r="O249" i="7" s="1"/>
  <c r="M263" i="7"/>
  <c r="P263" i="7" s="1"/>
  <c r="I275" i="7"/>
  <c r="K275" i="7" s="1"/>
  <c r="M300" i="7"/>
  <c r="P300" i="7" s="1"/>
  <c r="P320" i="7"/>
  <c r="L347" i="7"/>
  <c r="L345" i="7" s="1"/>
  <c r="P353" i="7"/>
  <c r="J364" i="7"/>
  <c r="M405" i="7"/>
  <c r="P405" i="7" s="1"/>
  <c r="J721" i="7"/>
  <c r="K721" i="7" s="1"/>
  <c r="K722" i="7"/>
  <c r="O791" i="7"/>
  <c r="K821" i="7"/>
  <c r="K824" i="7"/>
  <c r="K827" i="7"/>
  <c r="L658" i="3"/>
  <c r="O658" i="3" s="1"/>
  <c r="L421" i="4"/>
  <c r="O421" i="4" s="1"/>
  <c r="L36" i="5"/>
  <c r="O36" i="5" s="1"/>
  <c r="L69" i="6"/>
  <c r="O69" i="6" s="1"/>
  <c r="L347" i="6"/>
  <c r="L345" i="6" s="1"/>
  <c r="I434" i="6"/>
  <c r="I418" i="6" s="1"/>
  <c r="K418" i="6" s="1"/>
  <c r="L26" i="7"/>
  <c r="O46" i="7"/>
  <c r="N68" i="7"/>
  <c r="N66" i="7" s="1"/>
  <c r="I77" i="7"/>
  <c r="K77" i="7" s="1"/>
  <c r="O397" i="7"/>
  <c r="K726" i="7"/>
  <c r="K674" i="7"/>
  <c r="L183" i="4"/>
  <c r="L181" i="4" s="1"/>
  <c r="O44" i="6"/>
  <c r="N405" i="6"/>
  <c r="K438" i="6"/>
  <c r="K460" i="6"/>
  <c r="K577" i="6"/>
  <c r="L23" i="7"/>
  <c r="L21" i="7" s="1"/>
  <c r="L33" i="7"/>
  <c r="L31" i="7" s="1"/>
  <c r="O31" i="7" s="1"/>
  <c r="N55" i="7"/>
  <c r="N53" i="7" s="1"/>
  <c r="I148" i="7"/>
  <c r="K148" i="7" s="1"/>
  <c r="L238" i="7"/>
  <c r="O238" i="7" s="1"/>
  <c r="N301" i="7"/>
  <c r="J355" i="7"/>
  <c r="K355" i="7" s="1"/>
  <c r="K378" i="7"/>
  <c r="K438" i="7"/>
  <c r="O456" i="7"/>
  <c r="I654" i="7"/>
  <c r="K672" i="7"/>
  <c r="K822" i="7"/>
  <c r="K825" i="7"/>
  <c r="K828" i="7"/>
  <c r="K823" i="5"/>
  <c r="N121" i="6"/>
  <c r="N119" i="6" s="1"/>
  <c r="L446" i="6"/>
  <c r="O446" i="6" s="1"/>
  <c r="P58" i="7"/>
  <c r="K374" i="7"/>
  <c r="K379" i="7"/>
  <c r="L391" i="7"/>
  <c r="P690" i="7"/>
  <c r="K700" i="7"/>
  <c r="P12" i="7"/>
  <c r="P29" i="7"/>
  <c r="M44" i="7"/>
  <c r="P44" i="7" s="1"/>
  <c r="M23" i="7"/>
  <c r="M21" i="7" s="1"/>
  <c r="M279" i="4"/>
  <c r="P279" i="4" s="1"/>
  <c r="L151" i="5"/>
  <c r="O151" i="5" s="1"/>
  <c r="M300" i="5"/>
  <c r="M298" i="5" s="1"/>
  <c r="J364" i="5"/>
  <c r="N404" i="5"/>
  <c r="N402" i="5" s="1"/>
  <c r="K146" i="6"/>
  <c r="L151" i="6"/>
  <c r="O151" i="6" s="1"/>
  <c r="N184" i="6"/>
  <c r="O184" i="6" s="1"/>
  <c r="L280" i="6"/>
  <c r="O280" i="6" s="1"/>
  <c r="O282" i="6"/>
  <c r="N300" i="6"/>
  <c r="N298" i="6" s="1"/>
  <c r="K576" i="6"/>
  <c r="I559" i="6"/>
  <c r="I543" i="6" s="1"/>
  <c r="N91" i="7"/>
  <c r="P93" i="7"/>
  <c r="K193" i="7"/>
  <c r="I190" i="7"/>
  <c r="K190" i="7" s="1"/>
  <c r="N264" i="7"/>
  <c r="N263" i="7"/>
  <c r="N261" i="7" s="1"/>
  <c r="L267" i="7"/>
  <c r="O267" i="7" s="1"/>
  <c r="O269" i="7"/>
  <c r="P89" i="7"/>
  <c r="M167" i="4"/>
  <c r="M165" i="4" s="1"/>
  <c r="J721" i="4"/>
  <c r="M151" i="5"/>
  <c r="M149" i="5" s="1"/>
  <c r="P149" i="5" s="1"/>
  <c r="N168" i="5"/>
  <c r="O168" i="5" s="1"/>
  <c r="L198" i="5"/>
  <c r="O198" i="5" s="1"/>
  <c r="L230" i="5"/>
  <c r="N279" i="5"/>
  <c r="N277" i="5" s="1"/>
  <c r="L404" i="5"/>
  <c r="O404" i="5" s="1"/>
  <c r="L685" i="5"/>
  <c r="O685" i="5" s="1"/>
  <c r="L788" i="5"/>
  <c r="O788" i="5" s="1"/>
  <c r="M55" i="6"/>
  <c r="M53" i="6" s="1"/>
  <c r="N69" i="6"/>
  <c r="M72" i="6"/>
  <c r="P72" i="6" s="1"/>
  <c r="K79" i="6"/>
  <c r="O91" i="6"/>
  <c r="L138" i="6"/>
  <c r="O138" i="6" s="1"/>
  <c r="L152" i="6"/>
  <c r="O152" i="6" s="1"/>
  <c r="K176" i="6"/>
  <c r="I197" i="6"/>
  <c r="K197" i="6" s="1"/>
  <c r="K224" i="6"/>
  <c r="M267" i="6"/>
  <c r="P267" i="6" s="1"/>
  <c r="P269" i="6"/>
  <c r="P303" i="6"/>
  <c r="I314" i="6"/>
  <c r="K314" i="6" s="1"/>
  <c r="M321" i="6"/>
  <c r="P321" i="6" s="1"/>
  <c r="O331" i="6"/>
  <c r="P353" i="6"/>
  <c r="M405" i="6"/>
  <c r="P405" i="6" s="1"/>
  <c r="O791" i="6"/>
  <c r="L788" i="6"/>
  <c r="O788" i="6" s="1"/>
  <c r="K823" i="6"/>
  <c r="K826" i="6"/>
  <c r="M19" i="7"/>
  <c r="N21" i="7"/>
  <c r="O42" i="7"/>
  <c r="O93" i="7"/>
  <c r="P154" i="7"/>
  <c r="M151" i="7"/>
  <c r="P151" i="7" s="1"/>
  <c r="O173" i="7"/>
  <c r="L167" i="7"/>
  <c r="P182" i="7"/>
  <c r="L334" i="7"/>
  <c r="O334" i="7" s="1"/>
  <c r="O336" i="7"/>
  <c r="L330" i="7"/>
  <c r="K111" i="5"/>
  <c r="L122" i="5"/>
  <c r="O122" i="5" s="1"/>
  <c r="I276" i="5"/>
  <c r="K276" i="5" s="1"/>
  <c r="L304" i="5"/>
  <c r="O304" i="5" s="1"/>
  <c r="P56" i="6"/>
  <c r="N23" i="6"/>
  <c r="N21" i="6" s="1"/>
  <c r="I86" i="6"/>
  <c r="K86" i="6" s="1"/>
  <c r="N90" i="6"/>
  <c r="N88" i="6" s="1"/>
  <c r="N26" i="6"/>
  <c r="N16" i="6" s="1"/>
  <c r="L183" i="6"/>
  <c r="L181" i="6" s="1"/>
  <c r="L230" i="6"/>
  <c r="P333" i="6"/>
  <c r="M330" i="6"/>
  <c r="M328" i="6" s="1"/>
  <c r="K362" i="6"/>
  <c r="L546" i="6"/>
  <c r="L544" i="6" s="1"/>
  <c r="M549" i="6"/>
  <c r="M546" i="6" s="1"/>
  <c r="M15" i="7"/>
  <c r="P46" i="7"/>
  <c r="O61" i="7"/>
  <c r="L55" i="7"/>
  <c r="P299" i="7"/>
  <c r="N331" i="7"/>
  <c r="O331" i="7" s="1"/>
  <c r="O333" i="7"/>
  <c r="N330" i="7"/>
  <c r="P333" i="7"/>
  <c r="L639" i="4"/>
  <c r="O639" i="4" s="1"/>
  <c r="P306" i="6"/>
  <c r="M304" i="6"/>
  <c r="P304" i="6" s="1"/>
  <c r="N69" i="7"/>
  <c r="O120" i="7"/>
  <c r="O137" i="5"/>
  <c r="I208" i="5"/>
  <c r="K208" i="5" s="1"/>
  <c r="K674" i="5"/>
  <c r="P91" i="6"/>
  <c r="I112" i="6"/>
  <c r="K112" i="6" s="1"/>
  <c r="P154" i="6"/>
  <c r="K355" i="6"/>
  <c r="I443" i="6"/>
  <c r="K443" i="6" s="1"/>
  <c r="P22" i="7"/>
  <c r="M43" i="7"/>
  <c r="N43" i="7"/>
  <c r="N47" i="7"/>
  <c r="P54" i="7"/>
  <c r="O67" i="7"/>
  <c r="N90" i="7"/>
  <c r="O90" i="7" s="1"/>
  <c r="I233" i="7"/>
  <c r="K233" i="7" s="1"/>
  <c r="K244" i="7"/>
  <c r="I237" i="7"/>
  <c r="M138" i="7"/>
  <c r="P138" i="7" s="1"/>
  <c r="P140" i="7"/>
  <c r="M134" i="7"/>
  <c r="P96" i="4"/>
  <c r="L334" i="4"/>
  <c r="O334" i="4" s="1"/>
  <c r="P138" i="5"/>
  <c r="N187" i="5"/>
  <c r="L249" i="5"/>
  <c r="O249" i="5" s="1"/>
  <c r="M317" i="5"/>
  <c r="P317" i="5" s="1"/>
  <c r="I76" i="6"/>
  <c r="K115" i="6"/>
  <c r="N122" i="6"/>
  <c r="L135" i="6"/>
  <c r="O135" i="6" s="1"/>
  <c r="L217" i="6"/>
  <c r="O217" i="6" s="1"/>
  <c r="L317" i="6"/>
  <c r="L315" i="6" s="1"/>
  <c r="O315" i="6" s="1"/>
  <c r="P331" i="6"/>
  <c r="K360" i="6"/>
  <c r="K369" i="6"/>
  <c r="J364" i="6"/>
  <c r="N26" i="7"/>
  <c r="O44" i="7"/>
  <c r="M59" i="7"/>
  <c r="P59" i="7" s="1"/>
  <c r="M69" i="7"/>
  <c r="P69" i="7" s="1"/>
  <c r="P71" i="7"/>
  <c r="K80" i="7"/>
  <c r="J143" i="7"/>
  <c r="J131" i="7" s="1"/>
  <c r="K144" i="7"/>
  <c r="K216" i="6"/>
  <c r="M279" i="6"/>
  <c r="P279" i="6" s="1"/>
  <c r="K370" i="6"/>
  <c r="K381" i="6"/>
  <c r="K561" i="6"/>
  <c r="J721" i="6"/>
  <c r="L15" i="7"/>
  <c r="L29" i="7"/>
  <c r="O58" i="7"/>
  <c r="P74" i="7"/>
  <c r="K98" i="7"/>
  <c r="P186" i="7"/>
  <c r="K325" i="7"/>
  <c r="I314" i="7"/>
  <c r="K314" i="7" s="1"/>
  <c r="L405" i="7"/>
  <c r="O405" i="7" s="1"/>
  <c r="O407" i="7"/>
  <c r="L404" i="7"/>
  <c r="L301" i="7"/>
  <c r="O301" i="7" s="1"/>
  <c r="O303" i="7"/>
  <c r="L300" i="7"/>
  <c r="P346" i="7"/>
  <c r="P410" i="7"/>
  <c r="M408" i="7"/>
  <c r="P408" i="7" s="1"/>
  <c r="O323" i="7"/>
  <c r="L321" i="7"/>
  <c r="O321" i="7" s="1"/>
  <c r="O545" i="7"/>
  <c r="M26" i="7"/>
  <c r="M55" i="7"/>
  <c r="I112" i="7"/>
  <c r="K112" i="7" s="1"/>
  <c r="N167" i="7"/>
  <c r="P167" i="7" s="1"/>
  <c r="O170" i="7"/>
  <c r="L229" i="7"/>
  <c r="I248" i="7"/>
  <c r="K248" i="7" s="1"/>
  <c r="L264" i="7"/>
  <c r="L263" i="7"/>
  <c r="O266" i="7"/>
  <c r="K288" i="7"/>
  <c r="J592" i="7"/>
  <c r="K592" i="7" s="1"/>
  <c r="K593" i="7"/>
  <c r="M283" i="7"/>
  <c r="P283" i="7" s="1"/>
  <c r="P285" i="7"/>
  <c r="P420" i="7"/>
  <c r="O656" i="7"/>
  <c r="L655" i="7"/>
  <c r="O655" i="7" s="1"/>
  <c r="I276" i="7"/>
  <c r="K276" i="7" s="1"/>
  <c r="L304" i="7"/>
  <c r="O304" i="7" s="1"/>
  <c r="O306" i="7"/>
  <c r="P403" i="7"/>
  <c r="M421" i="7"/>
  <c r="P421" i="7" s="1"/>
  <c r="M422" i="7"/>
  <c r="P422" i="7" s="1"/>
  <c r="P424" i="7"/>
  <c r="L447" i="7"/>
  <c r="O447" i="7" s="1"/>
  <c r="O449" i="7"/>
  <c r="O472" i="7"/>
  <c r="N469" i="7"/>
  <c r="N470" i="7"/>
  <c r="J537" i="7"/>
  <c r="J522" i="7" s="1"/>
  <c r="K538" i="7"/>
  <c r="L546" i="7"/>
  <c r="O546" i="7" s="1"/>
  <c r="P738" i="7"/>
  <c r="M737" i="7"/>
  <c r="P737" i="7" s="1"/>
  <c r="P771" i="7"/>
  <c r="M770" i="7"/>
  <c r="P770" i="7" s="1"/>
  <c r="O787" i="7"/>
  <c r="L786" i="7"/>
  <c r="O786" i="7" s="1"/>
  <c r="I785" i="7"/>
  <c r="K785" i="7" s="1"/>
  <c r="K800" i="7"/>
  <c r="O806" i="7"/>
  <c r="L805" i="7"/>
  <c r="O805" i="7" s="1"/>
  <c r="M279" i="7"/>
  <c r="P279" i="7" s="1"/>
  <c r="N317" i="7"/>
  <c r="N315" i="7" s="1"/>
  <c r="O353" i="7"/>
  <c r="I364" i="7"/>
  <c r="K372" i="7"/>
  <c r="O445" i="7"/>
  <c r="L444" i="7"/>
  <c r="M449" i="7"/>
  <c r="K462" i="7"/>
  <c r="M546" i="7"/>
  <c r="P546" i="7" s="1"/>
  <c r="L547" i="7"/>
  <c r="O547" i="7" s="1"/>
  <c r="O549" i="7"/>
  <c r="I559" i="7"/>
  <c r="K576" i="7"/>
  <c r="M629" i="7"/>
  <c r="P629" i="7" s="1"/>
  <c r="N737" i="7"/>
  <c r="N770" i="7"/>
  <c r="N789" i="7"/>
  <c r="O535" i="7"/>
  <c r="L525" i="7"/>
  <c r="I628" i="7"/>
  <c r="K628" i="7" s="1"/>
  <c r="K651" i="7"/>
  <c r="L533" i="7"/>
  <c r="O533" i="7" s="1"/>
  <c r="M547" i="7"/>
  <c r="P547" i="7" s="1"/>
  <c r="O557" i="7"/>
  <c r="K568" i="7"/>
  <c r="K577" i="7"/>
  <c r="J669" i="7"/>
  <c r="K675" i="7"/>
  <c r="P755" i="7"/>
  <c r="M754" i="7"/>
  <c r="P754" i="7" s="1"/>
  <c r="K338" i="7"/>
  <c r="N347" i="7"/>
  <c r="P350" i="7"/>
  <c r="L408" i="7"/>
  <c r="O408" i="7" s="1"/>
  <c r="O410" i="7"/>
  <c r="N419" i="7"/>
  <c r="P555" i="7"/>
  <c r="M545" i="7"/>
  <c r="L658" i="7"/>
  <c r="O658" i="7" s="1"/>
  <c r="O660" i="7"/>
  <c r="P686" i="7"/>
  <c r="M685" i="7"/>
  <c r="P685" i="7" s="1"/>
  <c r="I442" i="7"/>
  <c r="K442" i="7" s="1"/>
  <c r="L469" i="7"/>
  <c r="M786" i="7"/>
  <c r="P786" i="7" s="1"/>
  <c r="M805" i="7"/>
  <c r="P805" i="7" s="1"/>
  <c r="L422" i="7"/>
  <c r="O422" i="7" s="1"/>
  <c r="J433" i="7"/>
  <c r="N688" i="7"/>
  <c r="K174" i="6"/>
  <c r="I164" i="6"/>
  <c r="K164" i="6" s="1"/>
  <c r="K628" i="6"/>
  <c r="P61" i="3"/>
  <c r="J722" i="3"/>
  <c r="I443" i="4"/>
  <c r="K443" i="4" s="1"/>
  <c r="O456" i="4"/>
  <c r="M94" i="5"/>
  <c r="P94" i="5" s="1"/>
  <c r="P124" i="5"/>
  <c r="J143" i="5"/>
  <c r="J131" i="5" s="1"/>
  <c r="L263" i="5"/>
  <c r="L261" i="5" s="1"/>
  <c r="M280" i="5"/>
  <c r="P280" i="5" s="1"/>
  <c r="K379" i="5"/>
  <c r="O641" i="5"/>
  <c r="L36" i="6"/>
  <c r="O36" i="6" s="1"/>
  <c r="L43" i="6"/>
  <c r="L121" i="6"/>
  <c r="O121" i="6" s="1"/>
  <c r="L125" i="6"/>
  <c r="O125" i="6" s="1"/>
  <c r="I143" i="6"/>
  <c r="M151" i="6"/>
  <c r="M149" i="6" s="1"/>
  <c r="P149" i="6" s="1"/>
  <c r="L155" i="6"/>
  <c r="O155" i="6" s="1"/>
  <c r="L187" i="6"/>
  <c r="O187" i="6" s="1"/>
  <c r="L228" i="6"/>
  <c r="M300" i="6"/>
  <c r="P300" i="6" s="1"/>
  <c r="N304" i="6"/>
  <c r="M347" i="6"/>
  <c r="M345" i="6" s="1"/>
  <c r="K378" i="6"/>
  <c r="P410" i="6"/>
  <c r="O424" i="6"/>
  <c r="O479" i="6"/>
  <c r="O528" i="6"/>
  <c r="K651" i="6"/>
  <c r="M392" i="6"/>
  <c r="P392" i="6" s="1"/>
  <c r="P318" i="3"/>
  <c r="L280" i="4"/>
  <c r="O280" i="4" s="1"/>
  <c r="M283" i="4"/>
  <c r="P283" i="4" s="1"/>
  <c r="O184" i="5"/>
  <c r="J722" i="5"/>
  <c r="O46" i="6"/>
  <c r="L72" i="6"/>
  <c r="O72" i="6" s="1"/>
  <c r="O93" i="6"/>
  <c r="K100" i="6"/>
  <c r="M121" i="6"/>
  <c r="M119" i="6" s="1"/>
  <c r="P119" i="6" s="1"/>
  <c r="N134" i="6"/>
  <c r="N132" i="6" s="1"/>
  <c r="O189" i="6"/>
  <c r="L249" i="6"/>
  <c r="O249" i="6" s="1"/>
  <c r="I260" i="6"/>
  <c r="K260" i="6" s="1"/>
  <c r="L279" i="6"/>
  <c r="O279" i="6" s="1"/>
  <c r="M318" i="6"/>
  <c r="P318" i="6" s="1"/>
  <c r="P320" i="6"/>
  <c r="N330" i="6"/>
  <c r="N328" i="6" s="1"/>
  <c r="K340" i="6"/>
  <c r="M351" i="6"/>
  <c r="O394" i="6"/>
  <c r="L454" i="6"/>
  <c r="O454" i="6" s="1"/>
  <c r="K821" i="6"/>
  <c r="K824" i="6"/>
  <c r="K827" i="6"/>
  <c r="O93" i="5"/>
  <c r="K244" i="5"/>
  <c r="O285" i="5"/>
  <c r="P46" i="6"/>
  <c r="O61" i="6"/>
  <c r="L209" i="6"/>
  <c r="O209" i="6" s="1"/>
  <c r="L391" i="6"/>
  <c r="P394" i="6"/>
  <c r="M404" i="6"/>
  <c r="M402" i="6" s="1"/>
  <c r="P402" i="6" s="1"/>
  <c r="M44" i="6"/>
  <c r="P44" i="6" s="1"/>
  <c r="J721" i="3"/>
  <c r="L547" i="4"/>
  <c r="P93" i="5"/>
  <c r="O127" i="5"/>
  <c r="O138" i="5"/>
  <c r="I297" i="5"/>
  <c r="K297" i="5" s="1"/>
  <c r="M304" i="5"/>
  <c r="P304" i="5" s="1"/>
  <c r="I314" i="5"/>
  <c r="K314" i="5" s="1"/>
  <c r="N347" i="5"/>
  <c r="N345" i="5" s="1"/>
  <c r="K378" i="5"/>
  <c r="M404" i="5"/>
  <c r="M402" i="5" s="1"/>
  <c r="P402" i="5" s="1"/>
  <c r="N55" i="6"/>
  <c r="O56" i="6"/>
  <c r="M167" i="6"/>
  <c r="M165" i="6" s="1"/>
  <c r="P168" i="6"/>
  <c r="L167" i="6"/>
  <c r="L165" i="6" s="1"/>
  <c r="N264" i="6"/>
  <c r="O264" i="6" s="1"/>
  <c r="M395" i="6"/>
  <c r="P395" i="6" s="1"/>
  <c r="K569" i="6"/>
  <c r="K700" i="6"/>
  <c r="J722" i="6"/>
  <c r="K822" i="6"/>
  <c r="K828" i="6"/>
  <c r="J364" i="4"/>
  <c r="K381" i="4"/>
  <c r="K370" i="5"/>
  <c r="K651" i="5"/>
  <c r="L134" i="6"/>
  <c r="O134" i="6" s="1"/>
  <c r="M183" i="6"/>
  <c r="M181" i="6" s="1"/>
  <c r="L198" i="6"/>
  <c r="O198" i="6" s="1"/>
  <c r="P15" i="6"/>
  <c r="N9" i="6"/>
  <c r="I190" i="4"/>
  <c r="K190" i="4" s="1"/>
  <c r="N348" i="6"/>
  <c r="P350" i="6"/>
  <c r="N347" i="6"/>
  <c r="O350" i="6"/>
  <c r="I276" i="3"/>
  <c r="K276" i="3" s="1"/>
  <c r="L688" i="3"/>
  <c r="O688" i="3" s="1"/>
  <c r="N90" i="4"/>
  <c r="N88" i="4" s="1"/>
  <c r="K385" i="4"/>
  <c r="P49" i="5"/>
  <c r="M55" i="5"/>
  <c r="P55" i="5" s="1"/>
  <c r="I86" i="5"/>
  <c r="K86" i="5" s="1"/>
  <c r="I143" i="5"/>
  <c r="I131" i="5" s="1"/>
  <c r="M168" i="5"/>
  <c r="P186" i="5"/>
  <c r="P306" i="5"/>
  <c r="M318" i="5"/>
  <c r="P318" i="5" s="1"/>
  <c r="P320" i="5"/>
  <c r="P350" i="5"/>
  <c r="K594" i="5"/>
  <c r="L19" i="6"/>
  <c r="N15" i="6"/>
  <c r="O32" i="6"/>
  <c r="L29" i="6"/>
  <c r="O49" i="6"/>
  <c r="P58" i="6"/>
  <c r="M23" i="6"/>
  <c r="M155" i="6"/>
  <c r="P155" i="6" s="1"/>
  <c r="P157" i="6"/>
  <c r="I233" i="6"/>
  <c r="K233" i="6" s="1"/>
  <c r="K244" i="6"/>
  <c r="I237" i="6"/>
  <c r="L301" i="5"/>
  <c r="L300" i="5"/>
  <c r="L298" i="5" s="1"/>
  <c r="P96" i="6"/>
  <c r="M94" i="6"/>
  <c r="P94" i="6" s="1"/>
  <c r="M43" i="4"/>
  <c r="M41" i="4" s="1"/>
  <c r="P351" i="4"/>
  <c r="P353" i="4"/>
  <c r="L69" i="5"/>
  <c r="O69" i="5" s="1"/>
  <c r="P74" i="5"/>
  <c r="L279" i="5"/>
  <c r="O279" i="5" s="1"/>
  <c r="M405" i="5"/>
  <c r="P405" i="5" s="1"/>
  <c r="P407" i="5"/>
  <c r="L421" i="5"/>
  <c r="O421" i="5" s="1"/>
  <c r="K647" i="5"/>
  <c r="I654" i="5"/>
  <c r="K654" i="5" s="1"/>
  <c r="M9" i="6"/>
  <c r="P12" i="6"/>
  <c r="M19" i="6"/>
  <c r="P25" i="6"/>
  <c r="L90" i="6"/>
  <c r="L88" i="6" s="1"/>
  <c r="P124" i="6"/>
  <c r="N167" i="6"/>
  <c r="P186" i="6"/>
  <c r="M184" i="6"/>
  <c r="M334" i="4"/>
  <c r="P334" i="4" s="1"/>
  <c r="M184" i="5"/>
  <c r="P184" i="5" s="1"/>
  <c r="O299" i="6"/>
  <c r="N392" i="6"/>
  <c r="N391" i="6"/>
  <c r="N389" i="6" s="1"/>
  <c r="O806" i="6"/>
  <c r="L805" i="6"/>
  <c r="O805" i="6" s="1"/>
  <c r="N347" i="4"/>
  <c r="L470" i="4"/>
  <c r="N391" i="5"/>
  <c r="N389" i="5" s="1"/>
  <c r="M549" i="5"/>
  <c r="P549" i="5" s="1"/>
  <c r="L547" i="5"/>
  <c r="O547" i="5" s="1"/>
  <c r="M26" i="6"/>
  <c r="N29" i="6"/>
  <c r="L55" i="6"/>
  <c r="O58" i="6"/>
  <c r="J143" i="6"/>
  <c r="J131" i="6" s="1"/>
  <c r="O150" i="6"/>
  <c r="I314" i="2"/>
  <c r="K314" i="2" s="1"/>
  <c r="L217" i="4"/>
  <c r="K374" i="4"/>
  <c r="I442" i="4"/>
  <c r="K442" i="4" s="1"/>
  <c r="L23" i="5"/>
  <c r="L134" i="5"/>
  <c r="L132" i="5" s="1"/>
  <c r="K224" i="5"/>
  <c r="N280" i="5"/>
  <c r="K288" i="5"/>
  <c r="L632" i="5"/>
  <c r="O632" i="5" s="1"/>
  <c r="L631" i="5"/>
  <c r="L629" i="5" s="1"/>
  <c r="L26" i="6"/>
  <c r="L47" i="6"/>
  <c r="O47" i="6" s="1"/>
  <c r="P71" i="6"/>
  <c r="M68" i="6"/>
  <c r="O89" i="6"/>
  <c r="P93" i="6"/>
  <c r="M90" i="6"/>
  <c r="K99" i="6"/>
  <c r="I87" i="6"/>
  <c r="K87" i="6" s="1"/>
  <c r="N151" i="6"/>
  <c r="N149" i="6" s="1"/>
  <c r="N152" i="6"/>
  <c r="M264" i="6"/>
  <c r="P264" i="6" s="1"/>
  <c r="P266" i="6"/>
  <c r="M263" i="6"/>
  <c r="P263" i="6" s="1"/>
  <c r="O323" i="6"/>
  <c r="L321" i="6"/>
  <c r="O321" i="6" s="1"/>
  <c r="N347" i="2"/>
  <c r="N345" i="2" s="1"/>
  <c r="P58" i="4"/>
  <c r="L283" i="4"/>
  <c r="O283" i="4" s="1"/>
  <c r="N300" i="4"/>
  <c r="N298" i="4" s="1"/>
  <c r="L135" i="5"/>
  <c r="O135" i="5" s="1"/>
  <c r="M134" i="5"/>
  <c r="M132" i="5" s="1"/>
  <c r="K145" i="5"/>
  <c r="P323" i="5"/>
  <c r="M321" i="5"/>
  <c r="P321" i="5" s="1"/>
  <c r="N330" i="5"/>
  <c r="N328" i="5" s="1"/>
  <c r="O12" i="6"/>
  <c r="L23" i="6"/>
  <c r="O25" i="6"/>
  <c r="L15" i="6"/>
  <c r="O54" i="6"/>
  <c r="L68" i="6"/>
  <c r="M134" i="6"/>
  <c r="P134" i="6" s="1"/>
  <c r="O170" i="6"/>
  <c r="O403" i="6"/>
  <c r="P299" i="6"/>
  <c r="L301" i="6"/>
  <c r="O301" i="6" s="1"/>
  <c r="O303" i="6"/>
  <c r="O421" i="6"/>
  <c r="L419" i="6"/>
  <c r="O535" i="6"/>
  <c r="L525" i="6"/>
  <c r="K359" i="5"/>
  <c r="K362" i="5"/>
  <c r="O96" i="6"/>
  <c r="P127" i="6"/>
  <c r="I148" i="6"/>
  <c r="K148" i="6" s="1"/>
  <c r="L171" i="6"/>
  <c r="O171" i="6" s="1"/>
  <c r="O186" i="6"/>
  <c r="N263" i="6"/>
  <c r="N261" i="6" s="1"/>
  <c r="K287" i="6"/>
  <c r="I276" i="6"/>
  <c r="K276" i="6" s="1"/>
  <c r="O336" i="6"/>
  <c r="N351" i="6"/>
  <c r="O351" i="6" s="1"/>
  <c r="O353" i="6"/>
  <c r="M523" i="6"/>
  <c r="P523" i="6" s="1"/>
  <c r="P524" i="6"/>
  <c r="L267" i="6"/>
  <c r="O267" i="6" s="1"/>
  <c r="L263" i="6"/>
  <c r="J288" i="6"/>
  <c r="J275" i="6" s="1"/>
  <c r="I275" i="6"/>
  <c r="K275" i="6" s="1"/>
  <c r="I364" i="6"/>
  <c r="K365" i="6"/>
  <c r="L405" i="6"/>
  <c r="O405" i="6" s="1"/>
  <c r="O407" i="6"/>
  <c r="L404" i="6"/>
  <c r="O404" i="6" s="1"/>
  <c r="L502" i="6"/>
  <c r="O502" i="6" s="1"/>
  <c r="K355" i="5"/>
  <c r="K369" i="5"/>
  <c r="K372" i="5"/>
  <c r="K385" i="5"/>
  <c r="L405" i="5"/>
  <c r="O405" i="5" s="1"/>
  <c r="K577" i="5"/>
  <c r="M187" i="6"/>
  <c r="P187" i="6" s="1"/>
  <c r="L238" i="6"/>
  <c r="I248" i="6"/>
  <c r="K248" i="6" s="1"/>
  <c r="K288" i="6"/>
  <c r="L300" i="6"/>
  <c r="O300" i="6" s="1"/>
  <c r="L304" i="6"/>
  <c r="O304" i="6" s="1"/>
  <c r="O306" i="6"/>
  <c r="L318" i="6"/>
  <c r="O318" i="6" s="1"/>
  <c r="P346" i="6"/>
  <c r="K374" i="6"/>
  <c r="L632" i="6"/>
  <c r="O634" i="6"/>
  <c r="M634" i="6"/>
  <c r="P170" i="6"/>
  <c r="O191" i="6"/>
  <c r="N279" i="6"/>
  <c r="N277" i="6" s="1"/>
  <c r="M283" i="6"/>
  <c r="P283" i="6" s="1"/>
  <c r="P285" i="6"/>
  <c r="N687" i="6"/>
  <c r="N685" i="6" s="1"/>
  <c r="N688" i="6"/>
  <c r="P316" i="6"/>
  <c r="O333" i="6"/>
  <c r="K338" i="6"/>
  <c r="K372" i="6"/>
  <c r="L447" i="6"/>
  <c r="O447" i="6" s="1"/>
  <c r="O449" i="6"/>
  <c r="L469" i="6"/>
  <c r="M502" i="6"/>
  <c r="P502" i="6" s="1"/>
  <c r="J543" i="6"/>
  <c r="M770" i="6"/>
  <c r="P770" i="6" s="1"/>
  <c r="P806" i="6"/>
  <c r="M805" i="6"/>
  <c r="P805" i="6" s="1"/>
  <c r="L408" i="6"/>
  <c r="O408" i="6" s="1"/>
  <c r="O410" i="6"/>
  <c r="K465" i="6"/>
  <c r="P472" i="6"/>
  <c r="M469" i="6"/>
  <c r="N549" i="6"/>
  <c r="O549" i="6" s="1"/>
  <c r="O630" i="6"/>
  <c r="L629" i="6"/>
  <c r="O629" i="6" s="1"/>
  <c r="M424" i="6"/>
  <c r="L422" i="6"/>
  <c r="O422" i="6" s="1"/>
  <c r="K593" i="6"/>
  <c r="N632" i="6"/>
  <c r="L639" i="6"/>
  <c r="O639" i="6" s="1"/>
  <c r="M657" i="6"/>
  <c r="P657" i="6" s="1"/>
  <c r="M658" i="6"/>
  <c r="P658" i="6" s="1"/>
  <c r="P660" i="6"/>
  <c r="M754" i="6"/>
  <c r="P754" i="6" s="1"/>
  <c r="M280" i="6"/>
  <c r="P280" i="6" s="1"/>
  <c r="P282" i="6"/>
  <c r="K437" i="6"/>
  <c r="J433" i="6"/>
  <c r="N447" i="6"/>
  <c r="K466" i="6"/>
  <c r="M470" i="6"/>
  <c r="N472" i="6"/>
  <c r="J537" i="6"/>
  <c r="J522" i="6" s="1"/>
  <c r="K538" i="6"/>
  <c r="K674" i="6"/>
  <c r="K673" i="6"/>
  <c r="K669" i="6"/>
  <c r="I654" i="6"/>
  <c r="K654" i="6" s="1"/>
  <c r="K672" i="6"/>
  <c r="K675" i="6"/>
  <c r="K825" i="6"/>
  <c r="L547" i="6"/>
  <c r="K647" i="6"/>
  <c r="O690" i="6"/>
  <c r="L687" i="6"/>
  <c r="L685" i="6" s="1"/>
  <c r="O685" i="6" s="1"/>
  <c r="M690" i="6"/>
  <c r="L688" i="6"/>
  <c r="O688" i="6" s="1"/>
  <c r="P787" i="6"/>
  <c r="M786" i="6"/>
  <c r="P786" i="6" s="1"/>
  <c r="I785" i="6"/>
  <c r="K785" i="6" s="1"/>
  <c r="K800" i="6"/>
  <c r="L658" i="6"/>
  <c r="O658" i="6" s="1"/>
  <c r="N90" i="2"/>
  <c r="N59" i="3"/>
  <c r="P59" i="3" s="1"/>
  <c r="J288" i="4"/>
  <c r="J275" i="4" s="1"/>
  <c r="P348" i="4"/>
  <c r="L405" i="4"/>
  <c r="O405" i="4" s="1"/>
  <c r="L121" i="5"/>
  <c r="L152" i="5"/>
  <c r="O152" i="5" s="1"/>
  <c r="N165" i="5"/>
  <c r="O170" i="5"/>
  <c r="N181" i="5"/>
  <c r="I190" i="5"/>
  <c r="K190" i="5" s="1"/>
  <c r="K255" i="5"/>
  <c r="N331" i="5"/>
  <c r="P331" i="5" s="1"/>
  <c r="M334" i="5"/>
  <c r="P334" i="5" s="1"/>
  <c r="M348" i="5"/>
  <c r="N395" i="5"/>
  <c r="N405" i="5"/>
  <c r="M421" i="5"/>
  <c r="P421" i="5" s="1"/>
  <c r="K435" i="5"/>
  <c r="M634" i="5"/>
  <c r="M631" i="5" s="1"/>
  <c r="P631" i="5" s="1"/>
  <c r="M391" i="3"/>
  <c r="P391" i="3" s="1"/>
  <c r="L639" i="3"/>
  <c r="O639" i="3" s="1"/>
  <c r="L230" i="4"/>
  <c r="N317" i="4"/>
  <c r="N315" i="4" s="1"/>
  <c r="L43" i="5"/>
  <c r="L41" i="5" s="1"/>
  <c r="L56" i="5"/>
  <c r="O71" i="5"/>
  <c r="M90" i="5"/>
  <c r="M88" i="5" s="1"/>
  <c r="M121" i="5"/>
  <c r="M119" i="5" s="1"/>
  <c r="L125" i="5"/>
  <c r="M152" i="5"/>
  <c r="P152" i="5" s="1"/>
  <c r="M171" i="5"/>
  <c r="P171" i="5" s="1"/>
  <c r="K176" i="5"/>
  <c r="L228" i="5"/>
  <c r="M263" i="5"/>
  <c r="M261" i="5" s="1"/>
  <c r="M279" i="5"/>
  <c r="O282" i="5"/>
  <c r="N348" i="5"/>
  <c r="L408" i="5"/>
  <c r="O408" i="5" s="1"/>
  <c r="O634" i="5"/>
  <c r="K675" i="5"/>
  <c r="K824" i="5"/>
  <c r="L321" i="5"/>
  <c r="O321" i="5" s="1"/>
  <c r="P44" i="4"/>
  <c r="L94" i="4"/>
  <c r="O94" i="4" s="1"/>
  <c r="M183" i="4"/>
  <c r="M181" i="4" s="1"/>
  <c r="N23" i="5"/>
  <c r="N13" i="5" s="1"/>
  <c r="O59" i="5"/>
  <c r="P61" i="5"/>
  <c r="L72" i="5"/>
  <c r="O72" i="5" s="1"/>
  <c r="I77" i="5"/>
  <c r="I65" i="5" s="1"/>
  <c r="K65" i="5" s="1"/>
  <c r="M91" i="5"/>
  <c r="P91" i="5" s="1"/>
  <c r="N121" i="5"/>
  <c r="N119" i="5" s="1"/>
  <c r="I130" i="5"/>
  <c r="K130" i="5" s="1"/>
  <c r="O154" i="5"/>
  <c r="O173" i="5"/>
  <c r="K164" i="5"/>
  <c r="L217" i="5"/>
  <c r="O217" i="5" s="1"/>
  <c r="L229" i="5"/>
  <c r="L317" i="5"/>
  <c r="M408" i="5"/>
  <c r="P408" i="5" s="1"/>
  <c r="L429" i="5"/>
  <c r="O429" i="5" s="1"/>
  <c r="L657" i="5"/>
  <c r="O657" i="5" s="1"/>
  <c r="O173" i="2"/>
  <c r="L526" i="3"/>
  <c r="O526" i="3" s="1"/>
  <c r="M47" i="4"/>
  <c r="P47" i="4" s="1"/>
  <c r="L59" i="4"/>
  <c r="O59" i="4" s="1"/>
  <c r="O74" i="4"/>
  <c r="O170" i="4"/>
  <c r="I275" i="4"/>
  <c r="K275" i="4" s="1"/>
  <c r="M26" i="5"/>
  <c r="M16" i="5" s="1"/>
  <c r="L33" i="5"/>
  <c r="O33" i="5" s="1"/>
  <c r="N44" i="5"/>
  <c r="O44" i="5" s="1"/>
  <c r="I76" i="5"/>
  <c r="I64" i="5" s="1"/>
  <c r="K64" i="5" s="1"/>
  <c r="I112" i="5"/>
  <c r="K112" i="5" s="1"/>
  <c r="O140" i="5"/>
  <c r="P154" i="5"/>
  <c r="L183" i="5"/>
  <c r="O183" i="5" s="1"/>
  <c r="I197" i="5"/>
  <c r="K197" i="5" s="1"/>
  <c r="L209" i="5"/>
  <c r="O209" i="5" s="1"/>
  <c r="L231" i="5"/>
  <c r="K340" i="5"/>
  <c r="K360" i="5"/>
  <c r="K381" i="5"/>
  <c r="M391" i="5"/>
  <c r="P391" i="5" s="1"/>
  <c r="O549" i="5"/>
  <c r="K822" i="5"/>
  <c r="K828" i="5"/>
  <c r="M155" i="5"/>
  <c r="P155" i="5" s="1"/>
  <c r="K174" i="5"/>
  <c r="I112" i="3"/>
  <c r="K112" i="3" s="1"/>
  <c r="O320" i="3"/>
  <c r="K360" i="3"/>
  <c r="P49" i="4"/>
  <c r="M59" i="4"/>
  <c r="P59" i="4" s="1"/>
  <c r="L125" i="4"/>
  <c r="O125" i="4" s="1"/>
  <c r="M152" i="4"/>
  <c r="P152" i="4" s="1"/>
  <c r="L184" i="4"/>
  <c r="P333" i="4"/>
  <c r="L788" i="4"/>
  <c r="O788" i="4" s="1"/>
  <c r="N68" i="5"/>
  <c r="N66" i="5" s="1"/>
  <c r="L26" i="5"/>
  <c r="P170" i="5"/>
  <c r="I233" i="5"/>
  <c r="K233" i="5" s="1"/>
  <c r="P333" i="5"/>
  <c r="K374" i="5"/>
  <c r="L525" i="5"/>
  <c r="K649" i="5"/>
  <c r="O394" i="4"/>
  <c r="L392" i="4"/>
  <c r="O392" i="4" s="1"/>
  <c r="M122" i="3"/>
  <c r="P122" i="3" s="1"/>
  <c r="M121" i="3"/>
  <c r="P121" i="3" s="1"/>
  <c r="L631" i="4"/>
  <c r="O631" i="4" s="1"/>
  <c r="L33" i="4"/>
  <c r="O157" i="4"/>
  <c r="L155" i="4"/>
  <c r="O155" i="4" s="1"/>
  <c r="P19" i="5"/>
  <c r="K98" i="3"/>
  <c r="I86" i="3"/>
  <c r="K86" i="3" s="1"/>
  <c r="I112" i="4"/>
  <c r="K112" i="4" s="1"/>
  <c r="K116" i="4"/>
  <c r="N151" i="4"/>
  <c r="N149" i="4" s="1"/>
  <c r="N152" i="4"/>
  <c r="N283" i="4"/>
  <c r="N279" i="4"/>
  <c r="N277" i="4" s="1"/>
  <c r="L330" i="4"/>
  <c r="O333" i="4"/>
  <c r="L331" i="4"/>
  <c r="O331" i="4" s="1"/>
  <c r="L470" i="2"/>
  <c r="O470" i="2" s="1"/>
  <c r="M472" i="2"/>
  <c r="P12" i="5"/>
  <c r="M9" i="5"/>
  <c r="K651" i="3"/>
  <c r="I628" i="3"/>
  <c r="K628" i="3" s="1"/>
  <c r="P410" i="4"/>
  <c r="M408" i="4"/>
  <c r="P408" i="4" s="1"/>
  <c r="O269" i="4"/>
  <c r="L267" i="4"/>
  <c r="O267" i="4" s="1"/>
  <c r="L263" i="4"/>
  <c r="L261" i="4" s="1"/>
  <c r="O350" i="4"/>
  <c r="L348" i="4"/>
  <c r="O348" i="4" s="1"/>
  <c r="L347" i="4"/>
  <c r="N347" i="3"/>
  <c r="N345" i="3" s="1"/>
  <c r="O479" i="4"/>
  <c r="L36" i="4"/>
  <c r="O36" i="4" s="1"/>
  <c r="L477" i="4"/>
  <c r="O477" i="4" s="1"/>
  <c r="O806" i="5"/>
  <c r="L805" i="5"/>
  <c r="O805" i="5" s="1"/>
  <c r="L151" i="2"/>
  <c r="L149" i="2" s="1"/>
  <c r="O149" i="2" s="1"/>
  <c r="L330" i="2"/>
  <c r="L328" i="2" s="1"/>
  <c r="L546" i="2"/>
  <c r="L544" i="2" s="1"/>
  <c r="O544" i="2" s="1"/>
  <c r="M330" i="3"/>
  <c r="M328" i="3" s="1"/>
  <c r="O168" i="4"/>
  <c r="I260" i="4"/>
  <c r="K260" i="4" s="1"/>
  <c r="O320" i="4"/>
  <c r="N12" i="5"/>
  <c r="N19" i="5"/>
  <c r="P32" i="5"/>
  <c r="M29" i="5"/>
  <c r="M43" i="5"/>
  <c r="P58" i="5"/>
  <c r="K79" i="5"/>
  <c r="I87" i="5"/>
  <c r="K87" i="5" s="1"/>
  <c r="L90" i="5"/>
  <c r="P135" i="5"/>
  <c r="O157" i="5"/>
  <c r="O186" i="5"/>
  <c r="J226" i="5"/>
  <c r="J180" i="5" s="1"/>
  <c r="K237" i="5"/>
  <c r="N264" i="5"/>
  <c r="P266" i="5"/>
  <c r="M469" i="5"/>
  <c r="P469" i="5" s="1"/>
  <c r="M470" i="5"/>
  <c r="P470" i="5" s="1"/>
  <c r="P472" i="5"/>
  <c r="N56" i="5"/>
  <c r="P56" i="5" s="1"/>
  <c r="L91" i="5"/>
  <c r="O91" i="5" s="1"/>
  <c r="L72" i="2"/>
  <c r="O72" i="2" s="1"/>
  <c r="L546" i="3"/>
  <c r="O546" i="3" s="1"/>
  <c r="M69" i="4"/>
  <c r="P69" i="4" s="1"/>
  <c r="M121" i="4"/>
  <c r="M155" i="4"/>
  <c r="P155" i="4" s="1"/>
  <c r="L238" i="4"/>
  <c r="O238" i="4" s="1"/>
  <c r="N263" i="4"/>
  <c r="N261" i="4" s="1"/>
  <c r="O303" i="4"/>
  <c r="M331" i="4"/>
  <c r="P331" i="4" s="1"/>
  <c r="N330" i="4"/>
  <c r="N328" i="4" s="1"/>
  <c r="I364" i="4"/>
  <c r="N391" i="4"/>
  <c r="N389" i="4" s="1"/>
  <c r="L15" i="5"/>
  <c r="M23" i="5"/>
  <c r="O29" i="5"/>
  <c r="N43" i="5"/>
  <c r="O46" i="5"/>
  <c r="M53" i="5"/>
  <c r="P53" i="5" s="1"/>
  <c r="O61" i="5"/>
  <c r="K115" i="5"/>
  <c r="N134" i="5"/>
  <c r="N151" i="5"/>
  <c r="N149" i="5" s="1"/>
  <c r="I226" i="5"/>
  <c r="K248" i="5"/>
  <c r="O266" i="5"/>
  <c r="J327" i="5"/>
  <c r="K327" i="5" s="1"/>
  <c r="K338" i="5"/>
  <c r="J537" i="5"/>
  <c r="J522" i="5" s="1"/>
  <c r="K539" i="5"/>
  <c r="I559" i="5"/>
  <c r="K576" i="5"/>
  <c r="O58" i="3"/>
  <c r="L55" i="4"/>
  <c r="L53" i="4" s="1"/>
  <c r="N167" i="4"/>
  <c r="N165" i="4" s="1"/>
  <c r="J327" i="4"/>
  <c r="K327" i="4" s="1"/>
  <c r="K359" i="4"/>
  <c r="M392" i="4"/>
  <c r="P392" i="4" s="1"/>
  <c r="L395" i="4"/>
  <c r="O395" i="4" s="1"/>
  <c r="K651" i="4"/>
  <c r="K823" i="4"/>
  <c r="M15" i="5"/>
  <c r="P46" i="5"/>
  <c r="P59" i="5"/>
  <c r="M68" i="5"/>
  <c r="N90" i="5"/>
  <c r="P140" i="5"/>
  <c r="L149" i="5"/>
  <c r="O149" i="5" s="1"/>
  <c r="L167" i="5"/>
  <c r="O167" i="5" s="1"/>
  <c r="N263" i="5"/>
  <c r="N261" i="5" s="1"/>
  <c r="L331" i="5"/>
  <c r="O333" i="5"/>
  <c r="L330" i="5"/>
  <c r="L392" i="5"/>
  <c r="O392" i="5" s="1"/>
  <c r="O394" i="5"/>
  <c r="L391" i="5"/>
  <c r="O391" i="5" s="1"/>
  <c r="P771" i="5"/>
  <c r="M770" i="5"/>
  <c r="P770" i="5" s="1"/>
  <c r="N301" i="5"/>
  <c r="P303" i="5"/>
  <c r="O303" i="5"/>
  <c r="N31" i="5"/>
  <c r="O58" i="5"/>
  <c r="P127" i="5"/>
  <c r="N125" i="5"/>
  <c r="N300" i="5"/>
  <c r="N298" i="5" s="1"/>
  <c r="P316" i="5"/>
  <c r="P755" i="5"/>
  <c r="M754" i="5"/>
  <c r="P754" i="5" s="1"/>
  <c r="N300" i="2"/>
  <c r="N298" i="2" s="1"/>
  <c r="L469" i="3"/>
  <c r="L467" i="3" s="1"/>
  <c r="M56" i="4"/>
  <c r="P56" i="4" s="1"/>
  <c r="M125" i="4"/>
  <c r="P125" i="4" s="1"/>
  <c r="L152" i="4"/>
  <c r="O152" i="4" s="1"/>
  <c r="O186" i="4"/>
  <c r="O266" i="4"/>
  <c r="K372" i="4"/>
  <c r="L12" i="5"/>
  <c r="L19" i="5"/>
  <c r="N26" i="5"/>
  <c r="N16" i="5" s="1"/>
  <c r="N14" i="5" s="1"/>
  <c r="P54" i="5"/>
  <c r="P71" i="5"/>
  <c r="P137" i="5"/>
  <c r="O189" i="5"/>
  <c r="L238" i="5"/>
  <c r="P299" i="5"/>
  <c r="P738" i="5"/>
  <c r="M737" i="5"/>
  <c r="P737" i="5" s="1"/>
  <c r="M347" i="5"/>
  <c r="L395" i="5"/>
  <c r="O395" i="5" s="1"/>
  <c r="O397" i="5"/>
  <c r="M545" i="5"/>
  <c r="P555" i="5"/>
  <c r="P806" i="5"/>
  <c r="M805" i="5"/>
  <c r="P805" i="5" s="1"/>
  <c r="P329" i="5"/>
  <c r="L334" i="5"/>
  <c r="O334" i="5" s="1"/>
  <c r="O336" i="5"/>
  <c r="L348" i="5"/>
  <c r="O350" i="5"/>
  <c r="I364" i="5"/>
  <c r="K365" i="5"/>
  <c r="O390" i="5"/>
  <c r="M392" i="5"/>
  <c r="P392" i="5" s="1"/>
  <c r="L422" i="5"/>
  <c r="O422" i="5" s="1"/>
  <c r="O424" i="5"/>
  <c r="J433" i="5"/>
  <c r="K465" i="5"/>
  <c r="O472" i="5"/>
  <c r="N546" i="5"/>
  <c r="N544" i="5" s="1"/>
  <c r="N547" i="5"/>
  <c r="K821" i="5"/>
  <c r="K827" i="5"/>
  <c r="L477" i="5"/>
  <c r="O477" i="5" s="1"/>
  <c r="L469" i="5"/>
  <c r="N504" i="5"/>
  <c r="N502" i="5" s="1"/>
  <c r="N505" i="5"/>
  <c r="P524" i="5"/>
  <c r="M523" i="5"/>
  <c r="P523" i="5" s="1"/>
  <c r="P630" i="5"/>
  <c r="P346" i="5"/>
  <c r="L351" i="5"/>
  <c r="O351" i="5" s="1"/>
  <c r="O353" i="5"/>
  <c r="M422" i="5"/>
  <c r="P422" i="5" s="1"/>
  <c r="K460" i="5"/>
  <c r="N467" i="5"/>
  <c r="N414" i="5" s="1"/>
  <c r="O479" i="5"/>
  <c r="N523" i="5"/>
  <c r="I522" i="5"/>
  <c r="K522" i="5" s="1"/>
  <c r="K537" i="5"/>
  <c r="N629" i="5"/>
  <c r="P787" i="5"/>
  <c r="M786" i="5"/>
  <c r="P786" i="5" s="1"/>
  <c r="I275" i="5"/>
  <c r="K275" i="5" s="1"/>
  <c r="N317" i="5"/>
  <c r="N315" i="5" s="1"/>
  <c r="M330" i="5"/>
  <c r="P351" i="5"/>
  <c r="P353" i="5"/>
  <c r="O420" i="5"/>
  <c r="K440" i="5"/>
  <c r="I434" i="5"/>
  <c r="L546" i="5"/>
  <c r="O557" i="5"/>
  <c r="I592" i="5"/>
  <c r="K592" i="5" s="1"/>
  <c r="K593" i="5"/>
  <c r="P686" i="5"/>
  <c r="M685" i="5"/>
  <c r="P685" i="5" s="1"/>
  <c r="N786" i="5"/>
  <c r="I785" i="5"/>
  <c r="K785" i="5" s="1"/>
  <c r="K800" i="5"/>
  <c r="L446" i="5"/>
  <c r="L470" i="5"/>
  <c r="O470" i="5" s="1"/>
  <c r="L502" i="5"/>
  <c r="O502" i="5" s="1"/>
  <c r="L533" i="5"/>
  <c r="O533" i="5" s="1"/>
  <c r="M502" i="5"/>
  <c r="P502" i="5" s="1"/>
  <c r="I628" i="5"/>
  <c r="K628" i="5" s="1"/>
  <c r="K672" i="5"/>
  <c r="L688" i="5"/>
  <c r="O688" i="5" s="1"/>
  <c r="K669" i="5"/>
  <c r="K174" i="4"/>
  <c r="I164" i="4"/>
  <c r="K164" i="4" s="1"/>
  <c r="N317" i="3"/>
  <c r="N315" i="3" s="1"/>
  <c r="M68" i="4"/>
  <c r="P68" i="4" s="1"/>
  <c r="L91" i="4"/>
  <c r="O91" i="4" s="1"/>
  <c r="M138" i="4"/>
  <c r="P138" i="4" s="1"/>
  <c r="L151" i="4"/>
  <c r="O151" i="4" s="1"/>
  <c r="L187" i="4"/>
  <c r="O187" i="4" s="1"/>
  <c r="M330" i="4"/>
  <c r="L688" i="4"/>
  <c r="O688" i="4" s="1"/>
  <c r="L155" i="2"/>
  <c r="O155" i="2" s="1"/>
  <c r="L421" i="2"/>
  <c r="O421" i="2" s="1"/>
  <c r="M56" i="3"/>
  <c r="P56" i="3" s="1"/>
  <c r="N279" i="3"/>
  <c r="N277" i="3" s="1"/>
  <c r="N300" i="3"/>
  <c r="N298" i="3" s="1"/>
  <c r="K381" i="3"/>
  <c r="N404" i="3"/>
  <c r="N402" i="3" s="1"/>
  <c r="L421" i="3"/>
  <c r="L419" i="3" s="1"/>
  <c r="O419" i="3" s="1"/>
  <c r="P74" i="4"/>
  <c r="O93" i="4"/>
  <c r="J143" i="4"/>
  <c r="J131" i="4" s="1"/>
  <c r="M151" i="4"/>
  <c r="L167" i="4"/>
  <c r="L171" i="4"/>
  <c r="O171" i="4" s="1"/>
  <c r="K176" i="4"/>
  <c r="I216" i="4"/>
  <c r="K216" i="4" s="1"/>
  <c r="L231" i="4"/>
  <c r="L264" i="4"/>
  <c r="O264" i="4" s="1"/>
  <c r="I276" i="4"/>
  <c r="K276" i="4" s="1"/>
  <c r="M280" i="4"/>
  <c r="P280" i="4" s="1"/>
  <c r="I297" i="4"/>
  <c r="K297" i="4" s="1"/>
  <c r="L304" i="4"/>
  <c r="O304" i="4" s="1"/>
  <c r="I314" i="4"/>
  <c r="K314" i="4" s="1"/>
  <c r="L317" i="4"/>
  <c r="O317" i="4" s="1"/>
  <c r="L321" i="4"/>
  <c r="O321" i="4" s="1"/>
  <c r="K365" i="4"/>
  <c r="K370" i="4"/>
  <c r="P407" i="4"/>
  <c r="L422" i="4"/>
  <c r="O535" i="4"/>
  <c r="L657" i="4"/>
  <c r="L121" i="2"/>
  <c r="O121" i="2" s="1"/>
  <c r="P124" i="2"/>
  <c r="O127" i="2"/>
  <c r="K378" i="2"/>
  <c r="N391" i="2"/>
  <c r="N389" i="2" s="1"/>
  <c r="L238" i="3"/>
  <c r="O238" i="3" s="1"/>
  <c r="K355" i="3"/>
  <c r="K370" i="3"/>
  <c r="M405" i="3"/>
  <c r="P405" i="3" s="1"/>
  <c r="N26" i="4"/>
  <c r="N16" i="4" s="1"/>
  <c r="N14" i="4" s="1"/>
  <c r="L44" i="4"/>
  <c r="O44" i="4" s="1"/>
  <c r="L26" i="4"/>
  <c r="O58" i="4"/>
  <c r="I76" i="4"/>
  <c r="K76" i="4" s="1"/>
  <c r="I77" i="4"/>
  <c r="I65" i="4" s="1"/>
  <c r="K65" i="4" s="1"/>
  <c r="I87" i="4"/>
  <c r="K87" i="4" s="1"/>
  <c r="P93" i="4"/>
  <c r="K98" i="4"/>
  <c r="L122" i="4"/>
  <c r="O122" i="4" s="1"/>
  <c r="M134" i="4"/>
  <c r="P134" i="4" s="1"/>
  <c r="N183" i="4"/>
  <c r="N181" i="4" s="1"/>
  <c r="L198" i="4"/>
  <c r="O198" i="4" s="1"/>
  <c r="L228" i="4"/>
  <c r="L279" i="4"/>
  <c r="P282" i="4"/>
  <c r="L300" i="4"/>
  <c r="O300" i="4" s="1"/>
  <c r="M317" i="4"/>
  <c r="P317" i="4" s="1"/>
  <c r="P350" i="4"/>
  <c r="L391" i="4"/>
  <c r="O391" i="4" s="1"/>
  <c r="M404" i="4"/>
  <c r="P404" i="4" s="1"/>
  <c r="L469" i="4"/>
  <c r="L467" i="4" s="1"/>
  <c r="M472" i="4"/>
  <c r="P472" i="4" s="1"/>
  <c r="I522" i="4"/>
  <c r="K522" i="4" s="1"/>
  <c r="K576" i="4"/>
  <c r="K672" i="4"/>
  <c r="K821" i="4"/>
  <c r="K824" i="4"/>
  <c r="K827" i="4"/>
  <c r="O333" i="2"/>
  <c r="I364" i="2"/>
  <c r="K647" i="2"/>
  <c r="L125" i="3"/>
  <c r="O125" i="3" s="1"/>
  <c r="O264" i="3"/>
  <c r="K379" i="3"/>
  <c r="M23" i="4"/>
  <c r="M21" i="4" s="1"/>
  <c r="O71" i="4"/>
  <c r="N134" i="4"/>
  <c r="N132" i="4" s="1"/>
  <c r="I208" i="4"/>
  <c r="K208" i="4" s="1"/>
  <c r="K379" i="4"/>
  <c r="L525" i="4"/>
  <c r="O525" i="4" s="1"/>
  <c r="K674" i="4"/>
  <c r="L88" i="4"/>
  <c r="K362" i="2"/>
  <c r="P44" i="3"/>
  <c r="N55" i="3"/>
  <c r="N53" i="3" s="1"/>
  <c r="O96" i="3"/>
  <c r="L231" i="3"/>
  <c r="L279" i="3"/>
  <c r="L277" i="3" s="1"/>
  <c r="I314" i="3"/>
  <c r="K314" i="3" s="1"/>
  <c r="P323" i="3"/>
  <c r="K359" i="3"/>
  <c r="N391" i="3"/>
  <c r="N389" i="3" s="1"/>
  <c r="M404" i="3"/>
  <c r="P404" i="3" s="1"/>
  <c r="N55" i="4"/>
  <c r="P91" i="4"/>
  <c r="M135" i="4"/>
  <c r="P135" i="4" s="1"/>
  <c r="I148" i="4"/>
  <c r="K148" i="4" s="1"/>
  <c r="N184" i="4"/>
  <c r="L229" i="4"/>
  <c r="K338" i="4"/>
  <c r="K362" i="4"/>
  <c r="M395" i="4"/>
  <c r="P395" i="4" s="1"/>
  <c r="I543" i="4"/>
  <c r="K543" i="4" s="1"/>
  <c r="M546" i="4"/>
  <c r="M544" i="4" s="1"/>
  <c r="O557" i="4"/>
  <c r="K594" i="4"/>
  <c r="O660" i="4"/>
  <c r="J722" i="4"/>
  <c r="O29" i="4"/>
  <c r="L41" i="4"/>
  <c r="P300" i="4"/>
  <c r="M298" i="4"/>
  <c r="P298" i="4" s="1"/>
  <c r="K204" i="4"/>
  <c r="I197" i="4"/>
  <c r="K197" i="4" s="1"/>
  <c r="M267" i="4"/>
  <c r="P267" i="4" s="1"/>
  <c r="P269" i="4"/>
  <c r="P788" i="4"/>
  <c r="M786" i="4"/>
  <c r="P786" i="4" s="1"/>
  <c r="O303" i="2"/>
  <c r="I77" i="3"/>
  <c r="I65" i="3" s="1"/>
  <c r="K65" i="3" s="1"/>
  <c r="O93" i="3"/>
  <c r="M168" i="3"/>
  <c r="P168" i="3" s="1"/>
  <c r="L187" i="3"/>
  <c r="O187" i="3" s="1"/>
  <c r="L198" i="3"/>
  <c r="O198" i="3" s="1"/>
  <c r="L304" i="3"/>
  <c r="O304" i="3" s="1"/>
  <c r="L347" i="3"/>
  <c r="N405" i="3"/>
  <c r="I433" i="3"/>
  <c r="I417" i="3" s="1"/>
  <c r="O528" i="3"/>
  <c r="I559" i="3"/>
  <c r="I543" i="3" s="1"/>
  <c r="K543" i="3" s="1"/>
  <c r="K822" i="3"/>
  <c r="M12" i="4"/>
  <c r="L15" i="4"/>
  <c r="L19" i="4"/>
  <c r="L23" i="4"/>
  <c r="L21" i="4" s="1"/>
  <c r="M34" i="4"/>
  <c r="P34" i="4" s="1"/>
  <c r="N43" i="4"/>
  <c r="O43" i="4" s="1"/>
  <c r="O46" i="4"/>
  <c r="N68" i="4"/>
  <c r="N66" i="4" s="1"/>
  <c r="M90" i="4"/>
  <c r="L138" i="4"/>
  <c r="O138" i="4" s="1"/>
  <c r="O140" i="4"/>
  <c r="O166" i="4"/>
  <c r="K340" i="4"/>
  <c r="K355" i="4"/>
  <c r="N392" i="4"/>
  <c r="L9" i="4"/>
  <c r="O686" i="4"/>
  <c r="P124" i="3"/>
  <c r="M134" i="3"/>
  <c r="M304" i="3"/>
  <c r="P304" i="3" s="1"/>
  <c r="L321" i="3"/>
  <c r="O321" i="3" s="1"/>
  <c r="M408" i="3"/>
  <c r="P408" i="3" s="1"/>
  <c r="P410" i="3"/>
  <c r="K675" i="3"/>
  <c r="K673" i="3"/>
  <c r="N12" i="4"/>
  <c r="M19" i="4"/>
  <c r="M26" i="4"/>
  <c r="P46" i="4"/>
  <c r="L56" i="4"/>
  <c r="O56" i="4" s="1"/>
  <c r="I130" i="4"/>
  <c r="K130" i="4" s="1"/>
  <c r="K146" i="4"/>
  <c r="M168" i="4"/>
  <c r="P168" i="4" s="1"/>
  <c r="P170" i="4"/>
  <c r="O182" i="4"/>
  <c r="L209" i="4"/>
  <c r="O209" i="4" s="1"/>
  <c r="O299" i="4"/>
  <c r="N469" i="4"/>
  <c r="N470" i="4"/>
  <c r="N422" i="4"/>
  <c r="N421" i="4"/>
  <c r="N419" i="4" s="1"/>
  <c r="P738" i="4"/>
  <c r="M737" i="4"/>
  <c r="P737" i="4" s="1"/>
  <c r="P771" i="4"/>
  <c r="M770" i="4"/>
  <c r="P770" i="4" s="1"/>
  <c r="P807" i="4"/>
  <c r="M805" i="4"/>
  <c r="P805" i="4" s="1"/>
  <c r="L347" i="2"/>
  <c r="L345" i="2" s="1"/>
  <c r="L36" i="3"/>
  <c r="N90" i="3"/>
  <c r="N88" i="3" s="1"/>
  <c r="P137" i="3"/>
  <c r="N134" i="3"/>
  <c r="N132" i="3" s="1"/>
  <c r="L33" i="3"/>
  <c r="L789" i="3"/>
  <c r="O789" i="3" s="1"/>
  <c r="O791" i="3"/>
  <c r="N23" i="4"/>
  <c r="O35" i="4"/>
  <c r="M184" i="4"/>
  <c r="P186" i="4"/>
  <c r="O217" i="4"/>
  <c r="K255" i="4"/>
  <c r="I248" i="4"/>
  <c r="K248" i="4" s="1"/>
  <c r="O262" i="4"/>
  <c r="P278" i="4"/>
  <c r="M301" i="4"/>
  <c r="P301" i="4" s="1"/>
  <c r="P303" i="4"/>
  <c r="N345" i="4"/>
  <c r="L629" i="4"/>
  <c r="O629" i="4" s="1"/>
  <c r="L135" i="4"/>
  <c r="O135" i="4" s="1"/>
  <c r="O137" i="4"/>
  <c r="J721" i="2"/>
  <c r="M43" i="3"/>
  <c r="N94" i="3"/>
  <c r="K224" i="3"/>
  <c r="N330" i="3"/>
  <c r="N328" i="3" s="1"/>
  <c r="K338" i="3"/>
  <c r="K372" i="3"/>
  <c r="N392" i="3"/>
  <c r="J433" i="3"/>
  <c r="J417" i="3" s="1"/>
  <c r="K460" i="3"/>
  <c r="P15" i="4"/>
  <c r="M171" i="4"/>
  <c r="P171" i="4" s="1"/>
  <c r="P173" i="4"/>
  <c r="M264" i="4"/>
  <c r="P264" i="4" s="1"/>
  <c r="P266" i="4"/>
  <c r="K145" i="2"/>
  <c r="N317" i="2"/>
  <c r="N315" i="2" s="1"/>
  <c r="P333" i="2"/>
  <c r="P397" i="2"/>
  <c r="O535" i="2"/>
  <c r="N43" i="3"/>
  <c r="N41" i="3" s="1"/>
  <c r="M47" i="3"/>
  <c r="P47" i="3" s="1"/>
  <c r="M55" i="3"/>
  <c r="L209" i="3"/>
  <c r="O209" i="3" s="1"/>
  <c r="I260" i="3"/>
  <c r="K260" i="3" s="1"/>
  <c r="O266" i="3"/>
  <c r="N280" i="3"/>
  <c r="O280" i="3" s="1"/>
  <c r="L283" i="3"/>
  <c r="O283" i="3" s="1"/>
  <c r="M300" i="3"/>
  <c r="M298" i="3" s="1"/>
  <c r="O431" i="3"/>
  <c r="I434" i="3"/>
  <c r="I418" i="3" s="1"/>
  <c r="K418" i="3" s="1"/>
  <c r="I654" i="3"/>
  <c r="K654" i="3" s="1"/>
  <c r="N33" i="4"/>
  <c r="M55" i="4"/>
  <c r="L68" i="4"/>
  <c r="L134" i="4"/>
  <c r="M187" i="4"/>
  <c r="P187" i="4" s="1"/>
  <c r="P189" i="4"/>
  <c r="M304" i="4"/>
  <c r="P304" i="4" s="1"/>
  <c r="P306" i="4"/>
  <c r="O410" i="4"/>
  <c r="L404" i="4"/>
  <c r="L419" i="4"/>
  <c r="K821" i="3"/>
  <c r="O120" i="4"/>
  <c r="P124" i="4"/>
  <c r="O150" i="4"/>
  <c r="I233" i="4"/>
  <c r="K233" i="4" s="1"/>
  <c r="M318" i="4"/>
  <c r="P318" i="4" s="1"/>
  <c r="M321" i="4"/>
  <c r="P321" i="4" s="1"/>
  <c r="O329" i="4"/>
  <c r="O346" i="4"/>
  <c r="O353" i="4"/>
  <c r="K360" i="4"/>
  <c r="M391" i="4"/>
  <c r="P391" i="4" s="1"/>
  <c r="P403" i="4"/>
  <c r="O503" i="4"/>
  <c r="N523" i="4"/>
  <c r="O549" i="4"/>
  <c r="N546" i="4"/>
  <c r="N544" i="4" s="1"/>
  <c r="N547" i="4"/>
  <c r="K561" i="4"/>
  <c r="O787" i="4"/>
  <c r="I785" i="4"/>
  <c r="K785" i="4" s="1"/>
  <c r="K800" i="4"/>
  <c r="O806" i="4"/>
  <c r="L805" i="4"/>
  <c r="O805" i="4" s="1"/>
  <c r="L447" i="4"/>
  <c r="O447" i="4" s="1"/>
  <c r="M449" i="4"/>
  <c r="O468" i="4"/>
  <c r="O547" i="4"/>
  <c r="K378" i="4"/>
  <c r="M424" i="4"/>
  <c r="O424" i="4"/>
  <c r="K435" i="4"/>
  <c r="L632" i="4"/>
  <c r="O632" i="4" s="1"/>
  <c r="O634" i="4"/>
  <c r="P755" i="4"/>
  <c r="M754" i="4"/>
  <c r="P754" i="4" s="1"/>
  <c r="I237" i="4"/>
  <c r="L249" i="4"/>
  <c r="O249" i="4" s="1"/>
  <c r="M347" i="4"/>
  <c r="N404" i="4"/>
  <c r="N402" i="4" s="1"/>
  <c r="I433" i="4"/>
  <c r="O449" i="4"/>
  <c r="P504" i="4"/>
  <c r="M502" i="4"/>
  <c r="P502" i="4" s="1"/>
  <c r="J537" i="4"/>
  <c r="J522" i="4" s="1"/>
  <c r="J592" i="4"/>
  <c r="K592" i="4" s="1"/>
  <c r="K593" i="4"/>
  <c r="P687" i="4"/>
  <c r="M685" i="4"/>
  <c r="P685" i="4" s="1"/>
  <c r="I143" i="4"/>
  <c r="K369" i="4"/>
  <c r="P390" i="4"/>
  <c r="I434" i="4"/>
  <c r="K438" i="4"/>
  <c r="L446" i="4"/>
  <c r="K577" i="4"/>
  <c r="O524" i="4"/>
  <c r="L546" i="4"/>
  <c r="M547" i="4"/>
  <c r="P547" i="4" s="1"/>
  <c r="I654" i="4"/>
  <c r="K654" i="4" s="1"/>
  <c r="P656" i="4"/>
  <c r="L526" i="4"/>
  <c r="O526" i="4" s="1"/>
  <c r="K675" i="4"/>
  <c r="K669" i="4"/>
  <c r="L687" i="4"/>
  <c r="O687" i="4" s="1"/>
  <c r="M526" i="3"/>
  <c r="P526" i="3" s="1"/>
  <c r="M525" i="3"/>
  <c r="P528" i="3"/>
  <c r="P69" i="3"/>
  <c r="M72" i="2"/>
  <c r="P72" i="2" s="1"/>
  <c r="N184" i="2"/>
  <c r="O184" i="2" s="1"/>
  <c r="N183" i="2"/>
  <c r="N181" i="2" s="1"/>
  <c r="K215" i="2"/>
  <c r="M263" i="2"/>
  <c r="P263" i="2" s="1"/>
  <c r="N404" i="2"/>
  <c r="N402" i="2" s="1"/>
  <c r="N68" i="3"/>
  <c r="N66" i="3" s="1"/>
  <c r="M138" i="3"/>
  <c r="M151" i="3"/>
  <c r="M149" i="3" s="1"/>
  <c r="M171" i="3"/>
  <c r="P171" i="3" s="1"/>
  <c r="K204" i="3"/>
  <c r="K215" i="3"/>
  <c r="K255" i="3"/>
  <c r="M301" i="3"/>
  <c r="K309" i="3"/>
  <c r="K362" i="3"/>
  <c r="K374" i="3"/>
  <c r="L391" i="3"/>
  <c r="O391" i="3" s="1"/>
  <c r="K437" i="3"/>
  <c r="L657" i="3"/>
  <c r="I233" i="3"/>
  <c r="K233" i="3" s="1"/>
  <c r="M187" i="2"/>
  <c r="P187" i="2" s="1"/>
  <c r="L229" i="2"/>
  <c r="P266" i="2"/>
  <c r="J288" i="2"/>
  <c r="J275" i="2" s="1"/>
  <c r="K275" i="2" s="1"/>
  <c r="I297" i="2"/>
  <c r="K297" i="2" s="1"/>
  <c r="M404" i="2"/>
  <c r="M549" i="2"/>
  <c r="M547" i="2" s="1"/>
  <c r="L657" i="2"/>
  <c r="O44" i="3"/>
  <c r="O61" i="3"/>
  <c r="K79" i="3"/>
  <c r="L90" i="3"/>
  <c r="L88" i="3" s="1"/>
  <c r="P91" i="3"/>
  <c r="L122" i="3"/>
  <c r="O122" i="3" s="1"/>
  <c r="P127" i="3"/>
  <c r="O137" i="3"/>
  <c r="N138" i="3"/>
  <c r="O138" i="3" s="1"/>
  <c r="L155" i="3"/>
  <c r="O155" i="3" s="1"/>
  <c r="O184" i="3"/>
  <c r="L228" i="3"/>
  <c r="P266" i="3"/>
  <c r="N301" i="3"/>
  <c r="O301" i="3" s="1"/>
  <c r="P303" i="3"/>
  <c r="L318" i="3"/>
  <c r="O318" i="3" s="1"/>
  <c r="O331" i="3"/>
  <c r="K340" i="3"/>
  <c r="L405" i="3"/>
  <c r="O405" i="3" s="1"/>
  <c r="M472" i="3"/>
  <c r="L525" i="3"/>
  <c r="K824" i="3"/>
  <c r="L33" i="2"/>
  <c r="L31" i="2" s="1"/>
  <c r="O31" i="2" s="1"/>
  <c r="O320" i="2"/>
  <c r="O46" i="3"/>
  <c r="I76" i="3"/>
  <c r="L91" i="3"/>
  <c r="O91" i="3" s="1"/>
  <c r="L121" i="3"/>
  <c r="I130" i="3"/>
  <c r="K130" i="3" s="1"/>
  <c r="L135" i="3"/>
  <c r="P186" i="3"/>
  <c r="L229" i="3"/>
  <c r="L267" i="3"/>
  <c r="O267" i="3" s="1"/>
  <c r="L317" i="3"/>
  <c r="L330" i="3"/>
  <c r="L328" i="3" s="1"/>
  <c r="O348" i="3"/>
  <c r="O351" i="3"/>
  <c r="J364" i="3"/>
  <c r="K672" i="3"/>
  <c r="L788" i="3"/>
  <c r="O56" i="2"/>
  <c r="K100" i="2"/>
  <c r="N167" i="2"/>
  <c r="N165" i="2" s="1"/>
  <c r="K255" i="2"/>
  <c r="K360" i="2"/>
  <c r="K369" i="2"/>
  <c r="K372" i="2"/>
  <c r="K651" i="2"/>
  <c r="P46" i="3"/>
  <c r="O69" i="3"/>
  <c r="M183" i="3"/>
  <c r="M181" i="3" s="1"/>
  <c r="L263" i="3"/>
  <c r="L261" i="3" s="1"/>
  <c r="O282" i="3"/>
  <c r="M317" i="3"/>
  <c r="P320" i="3"/>
  <c r="L404" i="3"/>
  <c r="O404" i="3" s="1"/>
  <c r="J327" i="3"/>
  <c r="K327" i="3" s="1"/>
  <c r="M171" i="2"/>
  <c r="P171" i="2" s="1"/>
  <c r="P186" i="2"/>
  <c r="L217" i="2"/>
  <c r="O217" i="2" s="1"/>
  <c r="I433" i="2"/>
  <c r="I417" i="2" s="1"/>
  <c r="P71" i="3"/>
  <c r="N121" i="3"/>
  <c r="N119" i="3" s="1"/>
  <c r="N135" i="3"/>
  <c r="P135" i="3" s="1"/>
  <c r="N167" i="3"/>
  <c r="N165" i="3" s="1"/>
  <c r="P184" i="3"/>
  <c r="M263" i="3"/>
  <c r="P263" i="3" s="1"/>
  <c r="O303" i="3"/>
  <c r="K385" i="3"/>
  <c r="L408" i="3"/>
  <c r="O408" i="3" s="1"/>
  <c r="M424" i="3"/>
  <c r="M421" i="3" s="1"/>
  <c r="P421" i="3" s="1"/>
  <c r="M449" i="3"/>
  <c r="P449" i="3" s="1"/>
  <c r="O479" i="3"/>
  <c r="K674" i="3"/>
  <c r="K828" i="3"/>
  <c r="O152" i="3"/>
  <c r="P152" i="3"/>
  <c r="P15" i="3"/>
  <c r="P29" i="3"/>
  <c r="I131" i="3"/>
  <c r="K174" i="3"/>
  <c r="I164" i="3"/>
  <c r="K164" i="3" s="1"/>
  <c r="L47" i="2"/>
  <c r="O47" i="2" s="1"/>
  <c r="I112" i="2"/>
  <c r="K112" i="2" s="1"/>
  <c r="I130" i="2"/>
  <c r="K130" i="2" s="1"/>
  <c r="M134" i="2"/>
  <c r="P134" i="2" s="1"/>
  <c r="N171" i="2"/>
  <c r="N187" i="2"/>
  <c r="I190" i="2"/>
  <c r="K190" i="2" s="1"/>
  <c r="L230" i="2"/>
  <c r="N304" i="2"/>
  <c r="M334" i="2"/>
  <c r="P334" i="2" s="1"/>
  <c r="K381" i="2"/>
  <c r="N405" i="2"/>
  <c r="O479" i="2"/>
  <c r="M634" i="2"/>
  <c r="M631" i="2" s="1"/>
  <c r="M629" i="2" s="1"/>
  <c r="P629" i="2" s="1"/>
  <c r="J722" i="2"/>
  <c r="L23" i="3"/>
  <c r="L26" i="3"/>
  <c r="M34" i="3"/>
  <c r="P34" i="3" s="1"/>
  <c r="L68" i="3"/>
  <c r="K115" i="3"/>
  <c r="N151" i="3"/>
  <c r="O154" i="3"/>
  <c r="I237" i="3"/>
  <c r="K244" i="3"/>
  <c r="L249" i="3"/>
  <c r="O249" i="3" s="1"/>
  <c r="L631" i="3"/>
  <c r="O631" i="3" s="1"/>
  <c r="N631" i="3"/>
  <c r="N629" i="3" s="1"/>
  <c r="N632" i="3"/>
  <c r="P787" i="3"/>
  <c r="M786" i="3"/>
  <c r="P786" i="3" s="1"/>
  <c r="P806" i="3"/>
  <c r="M805" i="3"/>
  <c r="P805" i="3" s="1"/>
  <c r="M47" i="2"/>
  <c r="P47" i="2" s="1"/>
  <c r="P56" i="2"/>
  <c r="L68" i="2"/>
  <c r="M135" i="2"/>
  <c r="P135" i="2" s="1"/>
  <c r="M138" i="2"/>
  <c r="P138" i="2" s="1"/>
  <c r="I233" i="2"/>
  <c r="K233" i="2" s="1"/>
  <c r="L231" i="2"/>
  <c r="L267" i="2"/>
  <c r="O267" i="2" s="1"/>
  <c r="L317" i="2"/>
  <c r="L315" i="2" s="1"/>
  <c r="P350" i="2"/>
  <c r="L392" i="2"/>
  <c r="O392" i="2" s="1"/>
  <c r="M424" i="2"/>
  <c r="P424" i="2" s="1"/>
  <c r="L632" i="2"/>
  <c r="O632" i="2" s="1"/>
  <c r="K649" i="2"/>
  <c r="K822" i="2"/>
  <c r="K828" i="2"/>
  <c r="N12" i="3"/>
  <c r="N23" i="3"/>
  <c r="M26" i="3"/>
  <c r="N34" i="3"/>
  <c r="O56" i="3"/>
  <c r="M68" i="3"/>
  <c r="O74" i="3"/>
  <c r="K80" i="3"/>
  <c r="I87" i="3"/>
  <c r="K87" i="3" s="1"/>
  <c r="M90" i="3"/>
  <c r="P140" i="3"/>
  <c r="K145" i="3"/>
  <c r="P154" i="3"/>
  <c r="L167" i="3"/>
  <c r="K176" i="3"/>
  <c r="L183" i="3"/>
  <c r="I190" i="3"/>
  <c r="K190" i="3" s="1"/>
  <c r="N263" i="3"/>
  <c r="M283" i="3"/>
  <c r="P283" i="3" s="1"/>
  <c r="M348" i="3"/>
  <c r="P348" i="3" s="1"/>
  <c r="P350" i="3"/>
  <c r="M347" i="3"/>
  <c r="M351" i="3"/>
  <c r="P351" i="3" s="1"/>
  <c r="P353" i="3"/>
  <c r="P420" i="3"/>
  <c r="J537" i="3"/>
  <c r="P631" i="3"/>
  <c r="M629" i="3"/>
  <c r="P629" i="3" s="1"/>
  <c r="M331" i="3"/>
  <c r="P331" i="3" s="1"/>
  <c r="P333" i="3"/>
  <c r="O806" i="3"/>
  <c r="L805" i="3"/>
  <c r="O805" i="3" s="1"/>
  <c r="L446" i="2"/>
  <c r="L55" i="2"/>
  <c r="L53" i="2" s="1"/>
  <c r="O350" i="2"/>
  <c r="O353" i="2"/>
  <c r="M392" i="2"/>
  <c r="P392" i="2" s="1"/>
  <c r="L9" i="3"/>
  <c r="N26" i="3"/>
  <c r="N16" i="3" s="1"/>
  <c r="N14" i="3" s="1"/>
  <c r="P35" i="3"/>
  <c r="L43" i="3"/>
  <c r="M23" i="3"/>
  <c r="L55" i="3"/>
  <c r="O71" i="3"/>
  <c r="P74" i="3"/>
  <c r="P96" i="3"/>
  <c r="L134" i="3"/>
  <c r="M167" i="3"/>
  <c r="O173" i="3"/>
  <c r="O186" i="3"/>
  <c r="P503" i="3"/>
  <c r="M502" i="3"/>
  <c r="P502" i="3" s="1"/>
  <c r="L632" i="3"/>
  <c r="O632" i="3" s="1"/>
  <c r="O634" i="3"/>
  <c r="L43" i="2"/>
  <c r="L41" i="2" s="1"/>
  <c r="N55" i="2"/>
  <c r="N53" i="2" s="1"/>
  <c r="L59" i="2"/>
  <c r="O59" i="2" s="1"/>
  <c r="O69" i="2"/>
  <c r="N68" i="2"/>
  <c r="N66" i="2" s="1"/>
  <c r="M184" i="2"/>
  <c r="K244" i="2"/>
  <c r="L263" i="2"/>
  <c r="L261" i="2" s="1"/>
  <c r="K271" i="2"/>
  <c r="L279" i="2"/>
  <c r="L277" i="2" s="1"/>
  <c r="N279" i="2"/>
  <c r="N277" i="2" s="1"/>
  <c r="M330" i="2"/>
  <c r="M328" i="2" s="1"/>
  <c r="K385" i="2"/>
  <c r="L422" i="2"/>
  <c r="K823" i="2"/>
  <c r="M9" i="3"/>
  <c r="O32" i="3"/>
  <c r="L29" i="3"/>
  <c r="N33" i="3"/>
  <c r="N30" i="3" s="1"/>
  <c r="O49" i="3"/>
  <c r="P93" i="3"/>
  <c r="J143" i="3"/>
  <c r="J131" i="3" s="1"/>
  <c r="N183" i="3"/>
  <c r="N181" i="3" s="1"/>
  <c r="K197" i="3"/>
  <c r="L217" i="3"/>
  <c r="O217" i="3" s="1"/>
  <c r="P269" i="3"/>
  <c r="O470" i="3"/>
  <c r="O686" i="3"/>
  <c r="N31" i="3"/>
  <c r="L454" i="2"/>
  <c r="O454" i="2" s="1"/>
  <c r="L36" i="2"/>
  <c r="O36" i="2" s="1"/>
  <c r="M43" i="2"/>
  <c r="M41" i="2" s="1"/>
  <c r="M279" i="2"/>
  <c r="M277" i="2" s="1"/>
  <c r="N330" i="2"/>
  <c r="N328" i="2" s="1"/>
  <c r="K370" i="2"/>
  <c r="I434" i="2"/>
  <c r="K434" i="2" s="1"/>
  <c r="I443" i="2"/>
  <c r="K443" i="2" s="1"/>
  <c r="N29" i="3"/>
  <c r="O140" i="3"/>
  <c r="K208" i="3"/>
  <c r="P282" i="3"/>
  <c r="M279" i="3"/>
  <c r="J288" i="3"/>
  <c r="J275" i="3" s="1"/>
  <c r="K275" i="3" s="1"/>
  <c r="P686" i="3"/>
  <c r="M685" i="3"/>
  <c r="P685" i="3" s="1"/>
  <c r="L300" i="3"/>
  <c r="M334" i="3"/>
  <c r="P334" i="3" s="1"/>
  <c r="P336" i="3"/>
  <c r="P346" i="3"/>
  <c r="I364" i="3"/>
  <c r="K365" i="3"/>
  <c r="M392" i="3"/>
  <c r="P392" i="3" s="1"/>
  <c r="P394" i="3"/>
  <c r="O472" i="3"/>
  <c r="N469" i="3"/>
  <c r="N470" i="3"/>
  <c r="N502" i="3"/>
  <c r="I592" i="3"/>
  <c r="K592" i="3" s="1"/>
  <c r="K593" i="3"/>
  <c r="O630" i="3"/>
  <c r="M754" i="3"/>
  <c r="P754" i="3" s="1"/>
  <c r="K827" i="3"/>
  <c r="P329" i="3"/>
  <c r="K378" i="3"/>
  <c r="M395" i="3"/>
  <c r="P395" i="3" s="1"/>
  <c r="P397" i="3"/>
  <c r="L447" i="3"/>
  <c r="O447" i="3" s="1"/>
  <c r="O449" i="3"/>
  <c r="O549" i="3"/>
  <c r="M549" i="3"/>
  <c r="P390" i="3"/>
  <c r="O445" i="3"/>
  <c r="L444" i="3"/>
  <c r="O444" i="3" s="1"/>
  <c r="N546" i="3"/>
  <c r="N544" i="3" s="1"/>
  <c r="N547" i="3"/>
  <c r="N770" i="3"/>
  <c r="K369" i="3"/>
  <c r="O456" i="3"/>
  <c r="K462" i="3"/>
  <c r="L547" i="3"/>
  <c r="O547" i="3" s="1"/>
  <c r="I785" i="3"/>
  <c r="K785" i="3" s="1"/>
  <c r="K800" i="3"/>
  <c r="K823" i="3"/>
  <c r="O333" i="3"/>
  <c r="O336" i="3"/>
  <c r="O350" i="3"/>
  <c r="O353" i="3"/>
  <c r="O394" i="3"/>
  <c r="O397" i="3"/>
  <c r="O424" i="3"/>
  <c r="M526" i="2"/>
  <c r="M525" i="2"/>
  <c r="P525" i="2" s="1"/>
  <c r="P528" i="2"/>
  <c r="N43" i="2"/>
  <c r="N41" i="2" s="1"/>
  <c r="M55" i="2"/>
  <c r="M53" i="2" s="1"/>
  <c r="P61" i="2"/>
  <c r="M68" i="2"/>
  <c r="M66" i="2" s="1"/>
  <c r="P127" i="2"/>
  <c r="P157" i="2"/>
  <c r="L228" i="2"/>
  <c r="O306" i="2"/>
  <c r="O336" i="2"/>
  <c r="J327" i="2"/>
  <c r="K327" i="2" s="1"/>
  <c r="K355" i="2"/>
  <c r="O407" i="2"/>
  <c r="L526" i="2"/>
  <c r="J537" i="2"/>
  <c r="J522" i="2" s="1"/>
  <c r="I559" i="2"/>
  <c r="L631" i="2"/>
  <c r="O631" i="2" s="1"/>
  <c r="L688" i="2"/>
  <c r="O688" i="2" s="1"/>
  <c r="N44" i="2"/>
  <c r="O44" i="2" s="1"/>
  <c r="M69" i="2"/>
  <c r="P69" i="2" s="1"/>
  <c r="N91" i="2"/>
  <c r="O91" i="2" s="1"/>
  <c r="M94" i="2"/>
  <c r="P94" i="2" s="1"/>
  <c r="L122" i="2"/>
  <c r="O122" i="2" s="1"/>
  <c r="L152" i="2"/>
  <c r="O152" i="2" s="1"/>
  <c r="M168" i="2"/>
  <c r="P168" i="2" s="1"/>
  <c r="K176" i="2"/>
  <c r="L183" i="2"/>
  <c r="L209" i="2"/>
  <c r="O209" i="2" s="1"/>
  <c r="I216" i="2"/>
  <c r="K216" i="2" s="1"/>
  <c r="N263" i="2"/>
  <c r="O285" i="2"/>
  <c r="L300" i="2"/>
  <c r="O300" i="2" s="1"/>
  <c r="L391" i="2"/>
  <c r="O410" i="2"/>
  <c r="O424" i="2"/>
  <c r="O472" i="2"/>
  <c r="P58" i="2"/>
  <c r="I77" i="2"/>
  <c r="K77" i="2" s="1"/>
  <c r="O96" i="2"/>
  <c r="L135" i="2"/>
  <c r="O135" i="2" s="1"/>
  <c r="O154" i="2"/>
  <c r="L249" i="2"/>
  <c r="O249" i="2" s="1"/>
  <c r="O266" i="2"/>
  <c r="P285" i="2"/>
  <c r="M300" i="2"/>
  <c r="L331" i="2"/>
  <c r="K338" i="2"/>
  <c r="L348" i="2"/>
  <c r="M391" i="2"/>
  <c r="M389" i="2" s="1"/>
  <c r="L404" i="2"/>
  <c r="L447" i="2"/>
  <c r="O447" i="2" s="1"/>
  <c r="L469" i="2"/>
  <c r="O469" i="2" s="1"/>
  <c r="L525" i="2"/>
  <c r="L523" i="2" s="1"/>
  <c r="O523" i="2" s="1"/>
  <c r="L547" i="2"/>
  <c r="O549" i="2"/>
  <c r="L658" i="2"/>
  <c r="O658" i="2" s="1"/>
  <c r="K672" i="2"/>
  <c r="L788" i="2"/>
  <c r="O788" i="2" s="1"/>
  <c r="K821" i="2"/>
  <c r="K824" i="2"/>
  <c r="K827" i="2"/>
  <c r="K674" i="2"/>
  <c r="N88" i="2"/>
  <c r="K98" i="2"/>
  <c r="M121" i="2"/>
  <c r="P121" i="2" s="1"/>
  <c r="I276" i="2"/>
  <c r="K276" i="2" s="1"/>
  <c r="O323" i="2"/>
  <c r="K340" i="2"/>
  <c r="P353" i="2"/>
  <c r="J374" i="2"/>
  <c r="J364" i="2" s="1"/>
  <c r="O397" i="2"/>
  <c r="O408" i="2"/>
  <c r="K438" i="2"/>
  <c r="L639" i="2"/>
  <c r="O639" i="2" s="1"/>
  <c r="L789" i="2"/>
  <c r="O789" i="2" s="1"/>
  <c r="P93" i="2"/>
  <c r="M151" i="2"/>
  <c r="M149" i="2" s="1"/>
  <c r="K174" i="2"/>
  <c r="L318" i="2"/>
  <c r="O318" i="2" s="1"/>
  <c r="M347" i="2"/>
  <c r="M345" i="2" s="1"/>
  <c r="K365" i="2"/>
  <c r="P408" i="2"/>
  <c r="O528" i="2"/>
  <c r="K628" i="2"/>
  <c r="O12" i="2"/>
  <c r="K87" i="2"/>
  <c r="P154" i="2"/>
  <c r="N152" i="2"/>
  <c r="P152" i="2" s="1"/>
  <c r="L15" i="2"/>
  <c r="O19" i="2"/>
  <c r="M23" i="2"/>
  <c r="M21" i="2" s="1"/>
  <c r="L26" i="2"/>
  <c r="L24" i="2" s="1"/>
  <c r="L29" i="2"/>
  <c r="P133" i="2"/>
  <c r="L138" i="2"/>
  <c r="O138" i="2" s="1"/>
  <c r="M183" i="2"/>
  <c r="L238" i="2"/>
  <c r="O686" i="2"/>
  <c r="P738" i="2"/>
  <c r="M737" i="2"/>
  <c r="P737" i="2" s="1"/>
  <c r="M15" i="2"/>
  <c r="N23" i="2"/>
  <c r="M26" i="2"/>
  <c r="M29" i="2"/>
  <c r="P36" i="2"/>
  <c r="O58" i="2"/>
  <c r="L90" i="2"/>
  <c r="O93" i="2"/>
  <c r="L134" i="2"/>
  <c r="L167" i="2"/>
  <c r="O167" i="2" s="1"/>
  <c r="O170" i="2"/>
  <c r="O32" i="2"/>
  <c r="N26" i="2"/>
  <c r="M90" i="2"/>
  <c r="I148" i="2"/>
  <c r="K148" i="2" s="1"/>
  <c r="N151" i="2"/>
  <c r="M167" i="2"/>
  <c r="O182" i="2"/>
  <c r="O189" i="2"/>
  <c r="L198" i="2"/>
  <c r="O198" i="2" s="1"/>
  <c r="K225" i="2"/>
  <c r="M318" i="2"/>
  <c r="P318" i="2" s="1"/>
  <c r="P320" i="2"/>
  <c r="M317" i="2"/>
  <c r="P22" i="2"/>
  <c r="M19" i="2"/>
  <c r="M12" i="2"/>
  <c r="L23" i="2"/>
  <c r="O46" i="2"/>
  <c r="O71" i="2"/>
  <c r="I76" i="2"/>
  <c r="N121" i="2"/>
  <c r="N119" i="2" s="1"/>
  <c r="N134" i="2"/>
  <c r="N132" i="2" s="1"/>
  <c r="J143" i="2"/>
  <c r="J131" i="2" s="1"/>
  <c r="O316" i="2"/>
  <c r="N19" i="2"/>
  <c r="N12" i="2"/>
  <c r="P46" i="2"/>
  <c r="P71" i="2"/>
  <c r="K86" i="2"/>
  <c r="O89" i="2"/>
  <c r="I131" i="2"/>
  <c r="K131" i="2" s="1"/>
  <c r="O166" i="2"/>
  <c r="K237" i="2"/>
  <c r="I226" i="2"/>
  <c r="K226" i="2" s="1"/>
  <c r="K99" i="2"/>
  <c r="M267" i="2"/>
  <c r="P267" i="2" s="1"/>
  <c r="M321" i="2"/>
  <c r="P321" i="2" s="1"/>
  <c r="P323" i="2"/>
  <c r="O630" i="2"/>
  <c r="N264" i="2"/>
  <c r="O264" i="2" s="1"/>
  <c r="O321" i="2"/>
  <c r="K359" i="2"/>
  <c r="K379" i="2"/>
  <c r="K465" i="2"/>
  <c r="P755" i="2"/>
  <c r="M754" i="2"/>
  <c r="P754" i="2" s="1"/>
  <c r="I785" i="2"/>
  <c r="K785" i="2" s="1"/>
  <c r="K800" i="2"/>
  <c r="O806" i="2"/>
  <c r="L805" i="2"/>
  <c r="O805" i="2" s="1"/>
  <c r="I592" i="2"/>
  <c r="K592" i="2" s="1"/>
  <c r="K593" i="2"/>
  <c r="P278" i="2"/>
  <c r="O282" i="2"/>
  <c r="N280" i="2"/>
  <c r="O280" i="2" s="1"/>
  <c r="P503" i="2"/>
  <c r="M502" i="2"/>
  <c r="P502" i="2" s="1"/>
  <c r="P687" i="2"/>
  <c r="M685" i="2"/>
  <c r="P685" i="2" s="1"/>
  <c r="P771" i="2"/>
  <c r="M770" i="2"/>
  <c r="P770" i="2" s="1"/>
  <c r="O787" i="2"/>
  <c r="I197" i="2"/>
  <c r="K197" i="2" s="1"/>
  <c r="P282" i="2"/>
  <c r="M786" i="2"/>
  <c r="P786" i="2" s="1"/>
  <c r="O299" i="2"/>
  <c r="P303" i="2"/>
  <c r="P306" i="2"/>
  <c r="O403" i="2"/>
  <c r="P407" i="2"/>
  <c r="P410" i="2"/>
  <c r="P445" i="2"/>
  <c r="O468" i="2"/>
  <c r="P472" i="2"/>
  <c r="I522" i="2"/>
  <c r="P524" i="2"/>
  <c r="I654" i="2"/>
  <c r="K654" i="2" s="1"/>
  <c r="P656" i="2"/>
  <c r="N331" i="2"/>
  <c r="P331" i="2" s="1"/>
  <c r="N348" i="2"/>
  <c r="P348" i="2" s="1"/>
  <c r="N351" i="2"/>
  <c r="P351" i="2" s="1"/>
  <c r="N395" i="2"/>
  <c r="P395" i="2" s="1"/>
  <c r="N422" i="2"/>
  <c r="N547" i="2"/>
  <c r="K675" i="2"/>
  <c r="N526" i="2"/>
  <c r="J433" i="2"/>
  <c r="K669" i="2"/>
  <c r="L687" i="2"/>
  <c r="O687" i="2" s="1"/>
  <c r="L421" i="1"/>
  <c r="L419" i="1" s="1"/>
  <c r="L429" i="1"/>
  <c r="O429" i="1" s="1"/>
  <c r="M134" i="1"/>
  <c r="M132" i="1" s="1"/>
  <c r="K176" i="1"/>
  <c r="O353" i="1"/>
  <c r="O350" i="1"/>
  <c r="K146" i="1"/>
  <c r="L55" i="1"/>
  <c r="L53" i="1" s="1"/>
  <c r="L347" i="1"/>
  <c r="L345" i="1" s="1"/>
  <c r="K643" i="1"/>
  <c r="N263" i="1"/>
  <c r="N261" i="1" s="1"/>
  <c r="P46" i="1"/>
  <c r="K647" i="1"/>
  <c r="N43" i="1"/>
  <c r="N41" i="1" s="1"/>
  <c r="O318" i="1"/>
  <c r="K159" i="1"/>
  <c r="L238" i="1"/>
  <c r="L263" i="1"/>
  <c r="L261" i="1" s="1"/>
  <c r="L267" i="1"/>
  <c r="O267" i="1" s="1"/>
  <c r="I130" i="1"/>
  <c r="K130" i="1" s="1"/>
  <c r="K369" i="1"/>
  <c r="K485" i="1"/>
  <c r="K699" i="1"/>
  <c r="K824" i="1"/>
  <c r="K827" i="1"/>
  <c r="K215" i="1"/>
  <c r="L229" i="1"/>
  <c r="I233" i="1"/>
  <c r="I248" i="1"/>
  <c r="K248" i="1" s="1"/>
  <c r="K379" i="1"/>
  <c r="L469" i="1"/>
  <c r="L467" i="1" s="1"/>
  <c r="K492" i="1"/>
  <c r="N167" i="1"/>
  <c r="N165" i="1" s="1"/>
  <c r="M183" i="1"/>
  <c r="M181" i="1" s="1"/>
  <c r="P186" i="1"/>
  <c r="K214" i="1"/>
  <c r="M267" i="1"/>
  <c r="P267" i="1" s="1"/>
  <c r="K338" i="1"/>
  <c r="M688" i="1"/>
  <c r="M187" i="1"/>
  <c r="P187" i="1" s="1"/>
  <c r="I148" i="1"/>
  <c r="K148" i="1" s="1"/>
  <c r="N634" i="1"/>
  <c r="P634" i="1" s="1"/>
  <c r="K290" i="1"/>
  <c r="K294" i="1"/>
  <c r="K312" i="1"/>
  <c r="L330" i="1"/>
  <c r="L328" i="1" s="1"/>
  <c r="J620" i="1"/>
  <c r="K620" i="1" s="1"/>
  <c r="M47" i="1"/>
  <c r="P47" i="1" s="1"/>
  <c r="O91" i="1"/>
  <c r="I174" i="1"/>
  <c r="K174" i="1" s="1"/>
  <c r="O191" i="1"/>
  <c r="K287" i="1"/>
  <c r="K291" i="1"/>
  <c r="K385" i="1"/>
  <c r="J604" i="1"/>
  <c r="N690" i="1"/>
  <c r="N687" i="1" s="1"/>
  <c r="N685" i="1" s="1"/>
  <c r="K310" i="1"/>
  <c r="K381" i="1"/>
  <c r="M151" i="1"/>
  <c r="K225" i="1"/>
  <c r="K413" i="1"/>
  <c r="N424" i="1"/>
  <c r="O424" i="1" s="1"/>
  <c r="K437" i="1"/>
  <c r="K487" i="1"/>
  <c r="K670" i="1"/>
  <c r="J675" i="1"/>
  <c r="J669" i="1" s="1"/>
  <c r="J654" i="1" s="1"/>
  <c r="L72" i="1"/>
  <c r="O72" i="1" s="1"/>
  <c r="L90" i="1"/>
  <c r="L88" i="1" s="1"/>
  <c r="P137" i="1"/>
  <c r="L231" i="1"/>
  <c r="L279" i="1"/>
  <c r="L277" i="1" s="1"/>
  <c r="M317" i="1"/>
  <c r="M315" i="1" s="1"/>
  <c r="P395" i="1"/>
  <c r="K483" i="1"/>
  <c r="J603" i="1"/>
  <c r="K826" i="1"/>
  <c r="N184" i="1"/>
  <c r="P184" i="1" s="1"/>
  <c r="J194" i="1"/>
  <c r="K223" i="1"/>
  <c r="N300" i="1"/>
  <c r="N298" i="1" s="1"/>
  <c r="L331" i="1"/>
  <c r="O331" i="1" s="1"/>
  <c r="K374" i="1"/>
  <c r="M122" i="1"/>
  <c r="P122" i="1" s="1"/>
  <c r="L391" i="1"/>
  <c r="L389" i="1" s="1"/>
  <c r="O395" i="1"/>
  <c r="M470" i="1"/>
  <c r="M447" i="1"/>
  <c r="M446" i="1"/>
  <c r="M444" i="1" s="1"/>
  <c r="L658" i="1"/>
  <c r="L657" i="1"/>
  <c r="L655" i="1" s="1"/>
  <c r="K325" i="1"/>
  <c r="I314" i="1"/>
  <c r="K314" i="1" s="1"/>
  <c r="I112" i="1"/>
  <c r="K145" i="1"/>
  <c r="P154" i="1"/>
  <c r="P157" i="1"/>
  <c r="N209" i="1"/>
  <c r="K360" i="1"/>
  <c r="L405" i="1"/>
  <c r="O405" i="1" s="1"/>
  <c r="P410" i="1"/>
  <c r="K541" i="1"/>
  <c r="L546" i="1"/>
  <c r="L544" i="1" s="1"/>
  <c r="K671" i="1"/>
  <c r="K723" i="1"/>
  <c r="J77" i="1"/>
  <c r="J65" i="1" s="1"/>
  <c r="J76" i="1"/>
  <c r="J64" i="1" s="1"/>
  <c r="J100" i="1"/>
  <c r="K100" i="1" s="1"/>
  <c r="J112" i="1"/>
  <c r="L167" i="1"/>
  <c r="I236" i="1"/>
  <c r="K288" i="1"/>
  <c r="K412" i="1"/>
  <c r="K435" i="1"/>
  <c r="K439" i="1"/>
  <c r="K462" i="1"/>
  <c r="N791" i="1"/>
  <c r="N788" i="1" s="1"/>
  <c r="N786" i="1" s="1"/>
  <c r="K80" i="1"/>
  <c r="K83" i="1"/>
  <c r="K104" i="1"/>
  <c r="K109" i="1"/>
  <c r="K113" i="1"/>
  <c r="K116" i="1"/>
  <c r="L134" i="1"/>
  <c r="L132" i="1" s="1"/>
  <c r="K340" i="1"/>
  <c r="K539" i="1"/>
  <c r="K542" i="1"/>
  <c r="J679" i="1"/>
  <c r="J678" i="1" s="1"/>
  <c r="M121" i="1"/>
  <c r="M119" i="1" s="1"/>
  <c r="O154" i="1"/>
  <c r="L230" i="1"/>
  <c r="P323" i="1"/>
  <c r="K359" i="1"/>
  <c r="K362" i="1"/>
  <c r="O410" i="1"/>
  <c r="J561" i="1"/>
  <c r="K561" i="1" s="1"/>
  <c r="J596" i="1"/>
  <c r="P32" i="1"/>
  <c r="M43" i="1"/>
  <c r="M41" i="1" s="1"/>
  <c r="M55" i="1"/>
  <c r="M53" i="1" s="1"/>
  <c r="P93" i="1"/>
  <c r="K114" i="1"/>
  <c r="K118" i="1"/>
  <c r="L151" i="1"/>
  <c r="L149" i="1" s="1"/>
  <c r="P152" i="1"/>
  <c r="O173" i="1"/>
  <c r="K224" i="1"/>
  <c r="I237" i="1"/>
  <c r="M283" i="1"/>
  <c r="P283" i="1" s="1"/>
  <c r="M347" i="1"/>
  <c r="M345" i="1" s="1"/>
  <c r="K355" i="1"/>
  <c r="K372" i="1"/>
  <c r="P408" i="1"/>
  <c r="K540" i="1"/>
  <c r="M631" i="1"/>
  <c r="M629" i="1" s="1"/>
  <c r="K700" i="1"/>
  <c r="J722" i="1"/>
  <c r="K722" i="1" s="1"/>
  <c r="J729" i="1"/>
  <c r="K131" i="1"/>
  <c r="P69" i="1"/>
  <c r="L135" i="1"/>
  <c r="O135" i="1" s="1"/>
  <c r="N183" i="1"/>
  <c r="N181" i="1" s="1"/>
  <c r="I208" i="1"/>
  <c r="K208" i="1" s="1"/>
  <c r="I235" i="1"/>
  <c r="K235" i="1" s="1"/>
  <c r="O301" i="1"/>
  <c r="L334" i="1"/>
  <c r="O334" i="1" s="1"/>
  <c r="N348" i="1"/>
  <c r="O348" i="1" s="1"/>
  <c r="K378" i="1"/>
  <c r="I388" i="1"/>
  <c r="K388" i="1" s="1"/>
  <c r="J434" i="1"/>
  <c r="J418" i="1" s="1"/>
  <c r="N68" i="1"/>
  <c r="N66" i="1" s="1"/>
  <c r="N121" i="1"/>
  <c r="M404" i="1"/>
  <c r="M402" i="1" s="1"/>
  <c r="I434" i="1"/>
  <c r="I418" i="1" s="1"/>
  <c r="K438" i="1"/>
  <c r="M23" i="1"/>
  <c r="M21" i="1" s="1"/>
  <c r="M72" i="1"/>
  <c r="P72" i="1" s="1"/>
  <c r="M91" i="1"/>
  <c r="P91" i="1" s="1"/>
  <c r="M94" i="1"/>
  <c r="P94" i="1" s="1"/>
  <c r="M125" i="1"/>
  <c r="M135" i="1"/>
  <c r="P135" i="1" s="1"/>
  <c r="K143" i="1"/>
  <c r="L152" i="1"/>
  <c r="O152" i="1" s="1"/>
  <c r="P170" i="1"/>
  <c r="N198" i="1"/>
  <c r="I216" i="1"/>
  <c r="K216" i="1" s="1"/>
  <c r="N217" i="1"/>
  <c r="N230" i="1"/>
  <c r="J235" i="1"/>
  <c r="L249" i="1"/>
  <c r="O249" i="1" s="1"/>
  <c r="N264" i="1"/>
  <c r="P264" i="1" s="1"/>
  <c r="O266" i="1"/>
  <c r="I275" i="1"/>
  <c r="K275" i="1" s="1"/>
  <c r="O282" i="1"/>
  <c r="L304" i="1"/>
  <c r="O304" i="1" s="1"/>
  <c r="M318" i="1"/>
  <c r="P318" i="1" s="1"/>
  <c r="P320" i="1"/>
  <c r="M391" i="1"/>
  <c r="M389" i="1" s="1"/>
  <c r="O397" i="1"/>
  <c r="J701" i="1"/>
  <c r="K701" i="1" s="1"/>
  <c r="K800" i="1"/>
  <c r="I785" i="1"/>
  <c r="K785" i="1" s="1"/>
  <c r="M44" i="1"/>
  <c r="K84" i="1"/>
  <c r="K102" i="1"/>
  <c r="K110" i="1"/>
  <c r="O137" i="1"/>
  <c r="K144" i="1"/>
  <c r="N151" i="1"/>
  <c r="N149" i="1" s="1"/>
  <c r="L171" i="1"/>
  <c r="O171" i="1" s="1"/>
  <c r="L217" i="1"/>
  <c r="K246" i="1"/>
  <c r="N231" i="1"/>
  <c r="I276" i="1"/>
  <c r="K276" i="1" s="1"/>
  <c r="N279" i="1"/>
  <c r="N277" i="1" s="1"/>
  <c r="M321" i="1"/>
  <c r="P321" i="1" s="1"/>
  <c r="J327" i="1"/>
  <c r="K327" i="1" s="1"/>
  <c r="L392" i="1"/>
  <c r="O392" i="1" s="1"/>
  <c r="N391" i="1"/>
  <c r="P397" i="1"/>
  <c r="I401" i="1"/>
  <c r="K401" i="1" s="1"/>
  <c r="P407" i="1"/>
  <c r="M526" i="1"/>
  <c r="M525" i="1"/>
  <c r="M523" i="1" s="1"/>
  <c r="L688" i="1"/>
  <c r="L687" i="1"/>
  <c r="L685" i="1" s="1"/>
  <c r="K87" i="1"/>
  <c r="M90" i="1"/>
  <c r="M88" i="1" s="1"/>
  <c r="L209" i="1"/>
  <c r="J364" i="1"/>
  <c r="N392" i="1"/>
  <c r="L408" i="1"/>
  <c r="O408" i="1" s="1"/>
  <c r="I433" i="1"/>
  <c r="K443" i="1"/>
  <c r="K725" i="1"/>
  <c r="M68" i="1"/>
  <c r="M66" i="1" s="1"/>
  <c r="P71" i="1"/>
  <c r="K79" i="1"/>
  <c r="K99" i="1"/>
  <c r="K103" i="1"/>
  <c r="K107" i="1"/>
  <c r="K111" i="1"/>
  <c r="L155" i="1"/>
  <c r="O155" i="1" s="1"/>
  <c r="O170" i="1"/>
  <c r="P173" i="1"/>
  <c r="L183" i="1"/>
  <c r="L181" i="1" s="1"/>
  <c r="L198" i="1"/>
  <c r="K244" i="1"/>
  <c r="J236" i="1"/>
  <c r="K293" i="1"/>
  <c r="N317" i="1"/>
  <c r="N315" i="1" s="1"/>
  <c r="O320" i="1"/>
  <c r="P394" i="1"/>
  <c r="L404" i="1"/>
  <c r="L402" i="1" s="1"/>
  <c r="K440" i="1"/>
  <c r="N549" i="1"/>
  <c r="K828" i="1"/>
  <c r="K495" i="1"/>
  <c r="K522" i="1"/>
  <c r="J560" i="1"/>
  <c r="K560" i="1" s="1"/>
  <c r="K673" i="1"/>
  <c r="K674" i="1"/>
  <c r="N449" i="1"/>
  <c r="N446" i="1" s="1"/>
  <c r="N444" i="1" s="1"/>
  <c r="K726" i="1"/>
  <c r="K537" i="1"/>
  <c r="J583" i="1"/>
  <c r="J577" i="1" s="1"/>
  <c r="K577" i="1" s="1"/>
  <c r="N660" i="1"/>
  <c r="N658" i="1" s="1"/>
  <c r="L446" i="1"/>
  <c r="L444" i="1" s="1"/>
  <c r="N528" i="1"/>
  <c r="O528" i="1" s="1"/>
  <c r="K538" i="1"/>
  <c r="J568" i="1"/>
  <c r="K568" i="1" s="1"/>
  <c r="J621" i="1"/>
  <c r="K621" i="1" s="1"/>
  <c r="J708" i="1"/>
  <c r="K728" i="1"/>
  <c r="K822" i="1"/>
  <c r="K825" i="1"/>
  <c r="L19" i="1"/>
  <c r="L12" i="1"/>
  <c r="N56" i="1"/>
  <c r="N55" i="1"/>
  <c r="O58" i="1"/>
  <c r="L283" i="1"/>
  <c r="O283" i="1" s="1"/>
  <c r="M9" i="1"/>
  <c r="N23" i="1"/>
  <c r="O124" i="1"/>
  <c r="L122" i="1"/>
  <c r="O122" i="1" s="1"/>
  <c r="L121" i="1"/>
  <c r="K309" i="1"/>
  <c r="I297" i="1"/>
  <c r="K297" i="1" s="1"/>
  <c r="L23" i="1"/>
  <c r="L21" i="1" s="1"/>
  <c r="L44" i="1"/>
  <c r="L43" i="1"/>
  <c r="O22" i="1"/>
  <c r="O35" i="1"/>
  <c r="K193" i="1"/>
  <c r="I190" i="1"/>
  <c r="K190" i="1" s="1"/>
  <c r="O285" i="1"/>
  <c r="O390" i="1"/>
  <c r="M421" i="1"/>
  <c r="M419" i="1" s="1"/>
  <c r="M33" i="1"/>
  <c r="M31" i="1" s="1"/>
  <c r="M422" i="1"/>
  <c r="L15" i="1"/>
  <c r="P346" i="1"/>
  <c r="P12" i="1"/>
  <c r="O71" i="1"/>
  <c r="L69" i="1"/>
  <c r="O69" i="1" s="1"/>
  <c r="L68" i="1"/>
  <c r="K78" i="1"/>
  <c r="I76" i="1"/>
  <c r="K81" i="1"/>
  <c r="I77" i="1"/>
  <c r="O127" i="1"/>
  <c r="L125" i="1"/>
  <c r="P150" i="1"/>
  <c r="O323" i="1"/>
  <c r="L321" i="1"/>
  <c r="O321" i="1" s="1"/>
  <c r="O333" i="1"/>
  <c r="N330" i="1"/>
  <c r="M547" i="1"/>
  <c r="M546" i="1"/>
  <c r="P15" i="1"/>
  <c r="L29" i="1"/>
  <c r="K204" i="1"/>
  <c r="J197" i="1"/>
  <c r="K197" i="1" s="1"/>
  <c r="P89" i="1"/>
  <c r="N138" i="1"/>
  <c r="N134" i="1"/>
  <c r="O140" i="1"/>
  <c r="K271" i="1"/>
  <c r="I260" i="1"/>
  <c r="K260" i="1" s="1"/>
  <c r="P306" i="1"/>
  <c r="M304" i="1"/>
  <c r="P304" i="1" s="1"/>
  <c r="N26" i="1"/>
  <c r="N47" i="1"/>
  <c r="N59" i="1"/>
  <c r="P61" i="1"/>
  <c r="P168" i="1"/>
  <c r="O299" i="1"/>
  <c r="O468" i="1"/>
  <c r="N756" i="1"/>
  <c r="N754" i="1" s="1"/>
  <c r="N757" i="1"/>
  <c r="N772" i="1"/>
  <c r="N773" i="1"/>
  <c r="P58" i="1"/>
  <c r="O61" i="1"/>
  <c r="K82" i="1"/>
  <c r="K86" i="1"/>
  <c r="N90" i="1"/>
  <c r="O93" i="1"/>
  <c r="K98" i="1"/>
  <c r="K106" i="1"/>
  <c r="P127" i="1"/>
  <c r="N125" i="1"/>
  <c r="O166" i="1"/>
  <c r="O168" i="1"/>
  <c r="O189" i="1"/>
  <c r="N249" i="1"/>
  <c r="N228" i="1"/>
  <c r="O262" i="1"/>
  <c r="P266" i="1"/>
  <c r="M263" i="1"/>
  <c r="M331" i="1"/>
  <c r="P331" i="1" s="1"/>
  <c r="P333" i="1"/>
  <c r="M330" i="1"/>
  <c r="N351" i="1"/>
  <c r="O351" i="1" s="1"/>
  <c r="N347" i="1"/>
  <c r="I364" i="1"/>
  <c r="K365" i="1"/>
  <c r="L422" i="1"/>
  <c r="L33" i="1"/>
  <c r="J466" i="1"/>
  <c r="K466" i="1" s="1"/>
  <c r="K498" i="1"/>
  <c r="J628" i="1"/>
  <c r="K628" i="1" s="1"/>
  <c r="K651" i="1"/>
  <c r="P756" i="1"/>
  <c r="M754" i="1"/>
  <c r="P754" i="1" s="1"/>
  <c r="P22" i="1"/>
  <c r="M19" i="1"/>
  <c r="P29" i="1"/>
  <c r="P35" i="1"/>
  <c r="M34" i="1"/>
  <c r="P34" i="1" s="1"/>
  <c r="J164" i="1"/>
  <c r="O186" i="1"/>
  <c r="N229" i="1"/>
  <c r="N238" i="1"/>
  <c r="J237" i="1"/>
  <c r="J233" i="1"/>
  <c r="O278" i="1"/>
  <c r="P282" i="1"/>
  <c r="M279" i="1"/>
  <c r="O303" i="1"/>
  <c r="L300" i="1"/>
  <c r="M348" i="1"/>
  <c r="P350" i="1"/>
  <c r="O545" i="1"/>
  <c r="M26" i="1"/>
  <c r="O46" i="1"/>
  <c r="N44" i="1"/>
  <c r="O49" i="1"/>
  <c r="L26" i="1"/>
  <c r="L94" i="1"/>
  <c r="O94" i="1" s="1"/>
  <c r="K115" i="1"/>
  <c r="P140" i="1"/>
  <c r="M167" i="1"/>
  <c r="L228" i="1"/>
  <c r="M280" i="1"/>
  <c r="P280" i="1" s="1"/>
  <c r="P303" i="1"/>
  <c r="M300" i="1"/>
  <c r="M301" i="1"/>
  <c r="P301" i="1" s="1"/>
  <c r="L525" i="1"/>
  <c r="L523" i="1" s="1"/>
  <c r="O535" i="1"/>
  <c r="L36" i="1"/>
  <c r="O36" i="1" s="1"/>
  <c r="P545" i="1"/>
  <c r="O656" i="1"/>
  <c r="O791" i="1"/>
  <c r="L788" i="1"/>
  <c r="O280" i="1"/>
  <c r="L317" i="1"/>
  <c r="O755" i="1"/>
  <c r="L754" i="1"/>
  <c r="O754" i="1" s="1"/>
  <c r="P772" i="1"/>
  <c r="M770" i="1"/>
  <c r="P770" i="1" s="1"/>
  <c r="M334" i="1"/>
  <c r="P334" i="1" s="1"/>
  <c r="P336" i="1"/>
  <c r="P420" i="1"/>
  <c r="L470" i="1"/>
  <c r="M658" i="1"/>
  <c r="M685" i="1"/>
  <c r="K247" i="1"/>
  <c r="K311" i="1"/>
  <c r="M351" i="1"/>
  <c r="P353" i="1"/>
  <c r="N405" i="1"/>
  <c r="N404" i="1"/>
  <c r="P445" i="1"/>
  <c r="K460" i="1"/>
  <c r="I442" i="1"/>
  <c r="K442" i="1" s="1"/>
  <c r="J595" i="1"/>
  <c r="O686" i="1"/>
  <c r="K370" i="1"/>
  <c r="J465" i="1"/>
  <c r="K465" i="1" s="1"/>
  <c r="K489" i="1"/>
  <c r="P503" i="1"/>
  <c r="M502" i="1"/>
  <c r="P502" i="1" s="1"/>
  <c r="I543" i="1"/>
  <c r="K649" i="1"/>
  <c r="P656" i="1"/>
  <c r="M655" i="1"/>
  <c r="O771" i="1"/>
  <c r="L770" i="1"/>
  <c r="O770" i="1" s="1"/>
  <c r="L805" i="1"/>
  <c r="O805" i="1" s="1"/>
  <c r="K823" i="1"/>
  <c r="P739" i="1"/>
  <c r="M737" i="1"/>
  <c r="P737" i="1" s="1"/>
  <c r="L454" i="1"/>
  <c r="O454" i="1" s="1"/>
  <c r="O456" i="1"/>
  <c r="N472" i="1"/>
  <c r="J569" i="1"/>
  <c r="K569" i="1" s="1"/>
  <c r="J582" i="1"/>
  <c r="J576" i="1" s="1"/>
  <c r="L639" i="1"/>
  <c r="O639" i="1" s="1"/>
  <c r="L631" i="1"/>
  <c r="K644" i="1"/>
  <c r="O738" i="1"/>
  <c r="L737" i="1"/>
  <c r="O737" i="1" s="1"/>
  <c r="N770" i="1"/>
  <c r="P806" i="1"/>
  <c r="M805" i="1"/>
  <c r="P805" i="1" s="1"/>
  <c r="K821" i="1"/>
  <c r="J721" i="1"/>
  <c r="K721" i="1" s="1"/>
  <c r="L477" i="1"/>
  <c r="O477" i="1" s="1"/>
  <c r="L555" i="1"/>
  <c r="O555" i="1" s="1"/>
  <c r="K672" i="1"/>
  <c r="I654" i="1"/>
  <c r="L21" i="15" l="1"/>
  <c r="O23" i="15"/>
  <c r="L20" i="15"/>
  <c r="L13" i="15"/>
  <c r="I65" i="8"/>
  <c r="K65" i="8" s="1"/>
  <c r="P347" i="10"/>
  <c r="O328" i="13"/>
  <c r="O135" i="13"/>
  <c r="M315" i="14"/>
  <c r="P315" i="14" s="1"/>
  <c r="L119" i="14"/>
  <c r="O119" i="14" s="1"/>
  <c r="P523" i="15"/>
  <c r="O544" i="15"/>
  <c r="L28" i="15"/>
  <c r="O28" i="15" s="1"/>
  <c r="O29" i="15"/>
  <c r="L227" i="15"/>
  <c r="O238" i="15"/>
  <c r="P467" i="15"/>
  <c r="N328" i="15"/>
  <c r="P330" i="15"/>
  <c r="L685" i="3"/>
  <c r="O685" i="3" s="1"/>
  <c r="O328" i="8"/>
  <c r="P68" i="9"/>
  <c r="P43" i="10"/>
  <c r="L523" i="10"/>
  <c r="O523" i="10" s="1"/>
  <c r="P184" i="11"/>
  <c r="L132" i="13"/>
  <c r="O132" i="13" s="1"/>
  <c r="L786" i="14"/>
  <c r="O786" i="14" s="1"/>
  <c r="L298" i="14"/>
  <c r="O298" i="14" s="1"/>
  <c r="P90" i="14"/>
  <c r="O421" i="15"/>
  <c r="L419" i="15"/>
  <c r="M277" i="15"/>
  <c r="P277" i="15" s="1"/>
  <c r="P279" i="15"/>
  <c r="M21" i="15"/>
  <c r="P21" i="15" s="1"/>
  <c r="P23" i="15"/>
  <c r="M20" i="15"/>
  <c r="M13" i="15"/>
  <c r="P134" i="15"/>
  <c r="M132" i="15"/>
  <c r="P132" i="15" s="1"/>
  <c r="P43" i="15"/>
  <c r="M41" i="15"/>
  <c r="N9" i="15"/>
  <c r="O55" i="15"/>
  <c r="L53" i="15"/>
  <c r="O53" i="15" s="1"/>
  <c r="P19" i="15"/>
  <c r="M18" i="15"/>
  <c r="P18" i="15" s="1"/>
  <c r="P66" i="15"/>
  <c r="P30" i="15"/>
  <c r="M28" i="15"/>
  <c r="P28" i="15" s="1"/>
  <c r="M657" i="7"/>
  <c r="L298" i="10"/>
  <c r="O298" i="10" s="1"/>
  <c r="M402" i="12"/>
  <c r="P402" i="12" s="1"/>
  <c r="O348" i="14"/>
  <c r="O90" i="14"/>
  <c r="O298" i="15"/>
  <c r="M14" i="15"/>
  <c r="P14" i="15" s="1"/>
  <c r="P16" i="15"/>
  <c r="J522" i="15"/>
  <c r="K522" i="15" s="1"/>
  <c r="K537" i="15"/>
  <c r="K237" i="15"/>
  <c r="I226" i="15"/>
  <c r="L66" i="5"/>
  <c r="O66" i="5" s="1"/>
  <c r="M24" i="9"/>
  <c r="O43" i="8"/>
  <c r="M315" i="9"/>
  <c r="P315" i="9" s="1"/>
  <c r="M149" i="12"/>
  <c r="P149" i="12" s="1"/>
  <c r="M53" i="13"/>
  <c r="P53" i="13" s="1"/>
  <c r="P318" i="13"/>
  <c r="P121" i="13"/>
  <c r="L66" i="13"/>
  <c r="O66" i="13" s="1"/>
  <c r="O261" i="14"/>
  <c r="O546" i="15"/>
  <c r="P168" i="15"/>
  <c r="N20" i="15"/>
  <c r="N18" i="15" s="1"/>
  <c r="N13" i="15"/>
  <c r="N10" i="15" s="1"/>
  <c r="O348" i="15"/>
  <c r="L14" i="15"/>
  <c r="O14" i="15" s="1"/>
  <c r="O15" i="15"/>
  <c r="K275" i="15"/>
  <c r="K77" i="15"/>
  <c r="I65" i="15"/>
  <c r="K65" i="15" s="1"/>
  <c r="P12" i="15"/>
  <c r="M9" i="15"/>
  <c r="M11" i="15"/>
  <c r="N21" i="15"/>
  <c r="M389" i="6"/>
  <c r="P389" i="6" s="1"/>
  <c r="O469" i="8"/>
  <c r="L34" i="10"/>
  <c r="O34" i="10" s="1"/>
  <c r="O330" i="12"/>
  <c r="L298" i="13"/>
  <c r="O298" i="13" s="1"/>
  <c r="M165" i="13"/>
  <c r="P165" i="13" s="1"/>
  <c r="O631" i="13"/>
  <c r="L20" i="13"/>
  <c r="L18" i="13" s="1"/>
  <c r="L402" i="14"/>
  <c r="O402" i="14" s="1"/>
  <c r="L16" i="14"/>
  <c r="O16" i="14" s="1"/>
  <c r="O56" i="14"/>
  <c r="P348" i="14"/>
  <c r="L149" i="14"/>
  <c r="O149" i="14" s="1"/>
  <c r="P444" i="15"/>
  <c r="M414" i="15"/>
  <c r="N419" i="15"/>
  <c r="P421" i="15"/>
  <c r="O525" i="15"/>
  <c r="L523" i="15"/>
  <c r="O523" i="15" s="1"/>
  <c r="L132" i="15"/>
  <c r="O132" i="15" s="1"/>
  <c r="P55" i="15"/>
  <c r="N53" i="15"/>
  <c r="P53" i="15" s="1"/>
  <c r="O9" i="15"/>
  <c r="L261" i="15"/>
  <c r="O261" i="15" s="1"/>
  <c r="O263" i="15"/>
  <c r="P68" i="15"/>
  <c r="O43" i="15"/>
  <c r="L41" i="15"/>
  <c r="I164" i="15"/>
  <c r="K164" i="15" s="1"/>
  <c r="K174" i="15"/>
  <c r="I417" i="15"/>
  <c r="K417" i="15" s="1"/>
  <c r="K433" i="15"/>
  <c r="O59" i="15"/>
  <c r="M149" i="14"/>
  <c r="P149" i="14" s="1"/>
  <c r="P549" i="14"/>
  <c r="M546" i="14"/>
  <c r="P546" i="14" s="1"/>
  <c r="L149" i="10"/>
  <c r="O149" i="10" s="1"/>
  <c r="K433" i="12"/>
  <c r="O24" i="14"/>
  <c r="P424" i="14"/>
  <c r="M421" i="14"/>
  <c r="M33" i="14"/>
  <c r="P135" i="9"/>
  <c r="O55" i="5"/>
  <c r="M547" i="14"/>
  <c r="P547" i="14" s="1"/>
  <c r="L345" i="14"/>
  <c r="O345" i="14" s="1"/>
  <c r="O347" i="14"/>
  <c r="M402" i="14"/>
  <c r="P402" i="14" s="1"/>
  <c r="P404" i="14"/>
  <c r="M20" i="14"/>
  <c r="M18" i="14" s="1"/>
  <c r="P351" i="12"/>
  <c r="K76" i="12"/>
  <c r="P181" i="14"/>
  <c r="L30" i="14"/>
  <c r="O30" i="14" s="1"/>
  <c r="L315" i="14"/>
  <c r="O315" i="14" s="1"/>
  <c r="O26" i="14"/>
  <c r="I131" i="14"/>
  <c r="K131" i="14" s="1"/>
  <c r="K143" i="14"/>
  <c r="M328" i="10"/>
  <c r="P328" i="10" s="1"/>
  <c r="M261" i="12"/>
  <c r="P261" i="12" s="1"/>
  <c r="O330" i="10"/>
  <c r="L21" i="13"/>
  <c r="L444" i="14"/>
  <c r="O444" i="14" s="1"/>
  <c r="L277" i="14"/>
  <c r="O277" i="14" s="1"/>
  <c r="O279" i="14"/>
  <c r="O631" i="14"/>
  <c r="L629" i="14"/>
  <c r="O629" i="14" s="1"/>
  <c r="L31" i="14"/>
  <c r="O31" i="14" s="1"/>
  <c r="P183" i="14"/>
  <c r="K131" i="5"/>
  <c r="O391" i="11"/>
  <c r="M298" i="13"/>
  <c r="P298" i="13" s="1"/>
  <c r="L402" i="13"/>
  <c r="O402" i="13" s="1"/>
  <c r="K364" i="14"/>
  <c r="P165" i="14"/>
  <c r="O43" i="13"/>
  <c r="P9" i="14"/>
  <c r="L419" i="14"/>
  <c r="O421" i="14"/>
  <c r="O9" i="14"/>
  <c r="K174" i="14"/>
  <c r="I164" i="14"/>
  <c r="K164" i="14" s="1"/>
  <c r="M547" i="6"/>
  <c r="M315" i="7"/>
  <c r="P315" i="7" s="1"/>
  <c r="M467" i="10"/>
  <c r="P467" i="10" s="1"/>
  <c r="L132" i="10"/>
  <c r="O132" i="10" s="1"/>
  <c r="O328" i="10"/>
  <c r="L132" i="11"/>
  <c r="O132" i="11" s="1"/>
  <c r="L389" i="12"/>
  <c r="O389" i="12" s="1"/>
  <c r="O43" i="11"/>
  <c r="M467" i="14"/>
  <c r="P467" i="14" s="1"/>
  <c r="P469" i="14"/>
  <c r="M298" i="14"/>
  <c r="P298" i="14" s="1"/>
  <c r="P300" i="14"/>
  <c r="P29" i="14"/>
  <c r="O469" i="14"/>
  <c r="O183" i="14"/>
  <c r="L181" i="14"/>
  <c r="O181" i="14" s="1"/>
  <c r="O29" i="14"/>
  <c r="L53" i="5"/>
  <c r="O53" i="5" s="1"/>
  <c r="P472" i="10"/>
  <c r="P345" i="10"/>
  <c r="L402" i="10"/>
  <c r="O402" i="10" s="1"/>
  <c r="L402" i="12"/>
  <c r="O402" i="12" s="1"/>
  <c r="O36" i="12"/>
  <c r="O330" i="13"/>
  <c r="L523" i="14"/>
  <c r="O523" i="14" s="1"/>
  <c r="O467" i="14"/>
  <c r="L389" i="14"/>
  <c r="O389" i="14" s="1"/>
  <c r="O23" i="14"/>
  <c r="L20" i="14"/>
  <c r="L13" i="14"/>
  <c r="L21" i="14"/>
  <c r="K76" i="14"/>
  <c r="I64" i="14"/>
  <c r="K64" i="14" s="1"/>
  <c r="N41" i="14"/>
  <c r="O19" i="14"/>
  <c r="N20" i="14"/>
  <c r="N21" i="14"/>
  <c r="P21" i="14" s="1"/>
  <c r="N13" i="14"/>
  <c r="N10" i="14" s="1"/>
  <c r="P23" i="14"/>
  <c r="O55" i="3"/>
  <c r="L119" i="7"/>
  <c r="O119" i="7" s="1"/>
  <c r="P151" i="9"/>
  <c r="M298" i="10"/>
  <c r="P298" i="10" s="1"/>
  <c r="M470" i="10"/>
  <c r="P470" i="10" s="1"/>
  <c r="K364" i="8"/>
  <c r="K434" i="11"/>
  <c r="P55" i="12"/>
  <c r="K434" i="13"/>
  <c r="L444" i="13"/>
  <c r="O444" i="13" s="1"/>
  <c r="I543" i="14"/>
  <c r="K543" i="14" s="1"/>
  <c r="K559" i="14"/>
  <c r="N9" i="14"/>
  <c r="I65" i="14"/>
  <c r="K65" i="14" s="1"/>
  <c r="K77" i="14"/>
  <c r="K237" i="14"/>
  <c r="I226" i="14"/>
  <c r="P24" i="14"/>
  <c r="L14" i="14"/>
  <c r="O14" i="14" s="1"/>
  <c r="O15" i="14"/>
  <c r="L53" i="14"/>
  <c r="O44" i="14"/>
  <c r="P44" i="14"/>
  <c r="O90" i="4"/>
  <c r="M132" i="8"/>
  <c r="P132" i="8" s="1"/>
  <c r="O263" i="9"/>
  <c r="K77" i="11"/>
  <c r="O53" i="11"/>
  <c r="L227" i="11"/>
  <c r="O36" i="14"/>
  <c r="L34" i="14"/>
  <c r="O34" i="14" s="1"/>
  <c r="M14" i="14"/>
  <c r="P14" i="14" s="1"/>
  <c r="P15" i="14"/>
  <c r="P330" i="14"/>
  <c r="M328" i="14"/>
  <c r="P328" i="14" s="1"/>
  <c r="P347" i="14"/>
  <c r="M345" i="14"/>
  <c r="P345" i="14" s="1"/>
  <c r="P43" i="14"/>
  <c r="O134" i="14"/>
  <c r="L132" i="14"/>
  <c r="O132" i="14" s="1"/>
  <c r="L467" i="10"/>
  <c r="O467" i="10" s="1"/>
  <c r="L629" i="12"/>
  <c r="O629" i="12" s="1"/>
  <c r="L523" i="12"/>
  <c r="O523" i="12" s="1"/>
  <c r="N414" i="14"/>
  <c r="P545" i="14"/>
  <c r="M544" i="14"/>
  <c r="P544" i="14" s="1"/>
  <c r="L685" i="14"/>
  <c r="O685" i="14" s="1"/>
  <c r="O687" i="14"/>
  <c r="O167" i="14"/>
  <c r="L165" i="14"/>
  <c r="O165" i="14" s="1"/>
  <c r="L227" i="14"/>
  <c r="M315" i="13"/>
  <c r="P315" i="13" s="1"/>
  <c r="P404" i="13"/>
  <c r="M402" i="13"/>
  <c r="P402" i="13" s="1"/>
  <c r="O469" i="12"/>
  <c r="P347" i="13"/>
  <c r="O184" i="13"/>
  <c r="M149" i="13"/>
  <c r="P149" i="13" s="1"/>
  <c r="K559" i="12"/>
  <c r="I543" i="12"/>
  <c r="K543" i="12" s="1"/>
  <c r="O391" i="13"/>
  <c r="L389" i="13"/>
  <c r="O389" i="13" s="1"/>
  <c r="L261" i="12"/>
  <c r="O261" i="12" s="1"/>
  <c r="M467" i="13"/>
  <c r="P467" i="13" s="1"/>
  <c r="K364" i="12"/>
  <c r="L227" i="13"/>
  <c r="K174" i="13"/>
  <c r="I164" i="13"/>
  <c r="K164" i="13" s="1"/>
  <c r="M119" i="12"/>
  <c r="P119" i="12" s="1"/>
  <c r="M66" i="12"/>
  <c r="P66" i="12" s="1"/>
  <c r="O55" i="12"/>
  <c r="O261" i="11"/>
  <c r="M328" i="13"/>
  <c r="P328" i="13" s="1"/>
  <c r="P44" i="13"/>
  <c r="P134" i="13"/>
  <c r="M132" i="13"/>
  <c r="P132" i="13" s="1"/>
  <c r="P9" i="13"/>
  <c r="P184" i="6"/>
  <c r="M687" i="8"/>
  <c r="P687" i="8" s="1"/>
  <c r="K433" i="13"/>
  <c r="J417" i="13"/>
  <c r="K417" i="13" s="1"/>
  <c r="K537" i="13"/>
  <c r="J522" i="13"/>
  <c r="K522" i="13" s="1"/>
  <c r="K559" i="13"/>
  <c r="I543" i="13"/>
  <c r="K543" i="13" s="1"/>
  <c r="L31" i="13"/>
  <c r="O31" i="13" s="1"/>
  <c r="O33" i="13"/>
  <c r="L30" i="13"/>
  <c r="O629" i="13"/>
  <c r="N20" i="13"/>
  <c r="N13" i="13"/>
  <c r="N10" i="13" s="1"/>
  <c r="P549" i="12"/>
  <c r="M546" i="12"/>
  <c r="P23" i="13"/>
  <c r="M20" i="13"/>
  <c r="M21" i="13"/>
  <c r="P56" i="7"/>
  <c r="P183" i="7"/>
  <c r="L298" i="8"/>
  <c r="O298" i="8" s="1"/>
  <c r="M402" i="9"/>
  <c r="P402" i="9" s="1"/>
  <c r="L30" i="10"/>
  <c r="L28" i="10" s="1"/>
  <c r="O28" i="10" s="1"/>
  <c r="L13" i="11"/>
  <c r="L11" i="11" s="1"/>
  <c r="N24" i="12"/>
  <c r="P24" i="12" s="1"/>
  <c r="P660" i="13"/>
  <c r="M657" i="13"/>
  <c r="M658" i="13"/>
  <c r="P658" i="13" s="1"/>
  <c r="P470" i="13"/>
  <c r="L544" i="13"/>
  <c r="O544" i="13" s="1"/>
  <c r="P631" i="13"/>
  <c r="M629" i="13"/>
  <c r="P629" i="13" s="1"/>
  <c r="M66" i="13"/>
  <c r="P66" i="13" s="1"/>
  <c r="P68" i="13"/>
  <c r="L24" i="13"/>
  <c r="O24" i="13" s="1"/>
  <c r="O26" i="13"/>
  <c r="L16" i="13"/>
  <c r="M345" i="13"/>
  <c r="P345" i="13" s="1"/>
  <c r="I65" i="13"/>
  <c r="K65" i="13" s="1"/>
  <c r="K77" i="13"/>
  <c r="N21" i="13"/>
  <c r="O21" i="13" s="1"/>
  <c r="O23" i="13"/>
  <c r="L655" i="11"/>
  <c r="O655" i="11" s="1"/>
  <c r="P26" i="12"/>
  <c r="K669" i="13"/>
  <c r="J654" i="13"/>
  <c r="K654" i="13" s="1"/>
  <c r="L53" i="13"/>
  <c r="P43" i="13"/>
  <c r="M41" i="13"/>
  <c r="P15" i="13"/>
  <c r="K433" i="8"/>
  <c r="M315" i="10"/>
  <c r="P315" i="10" s="1"/>
  <c r="L30" i="12"/>
  <c r="O30" i="12" s="1"/>
  <c r="I226" i="13"/>
  <c r="K237" i="13"/>
  <c r="P26" i="13"/>
  <c r="M16" i="13"/>
  <c r="P16" i="13" s="1"/>
  <c r="P449" i="13"/>
  <c r="M447" i="13"/>
  <c r="P447" i="13" s="1"/>
  <c r="M33" i="13"/>
  <c r="M446" i="13"/>
  <c r="N88" i="13"/>
  <c r="P90" i="13"/>
  <c r="N9" i="13"/>
  <c r="L315" i="12"/>
  <c r="O315" i="12" s="1"/>
  <c r="P419" i="13"/>
  <c r="O19" i="13"/>
  <c r="O525" i="13"/>
  <c r="L523" i="13"/>
  <c r="O523" i="13" s="1"/>
  <c r="P29" i="13"/>
  <c r="K143" i="13"/>
  <c r="I131" i="13"/>
  <c r="K131" i="13" s="1"/>
  <c r="O90" i="13"/>
  <c r="M688" i="8"/>
  <c r="P688" i="8" s="1"/>
  <c r="O44" i="11"/>
  <c r="P545" i="13"/>
  <c r="O12" i="13"/>
  <c r="L9" i="13"/>
  <c r="O657" i="12"/>
  <c r="L655" i="12"/>
  <c r="O655" i="12" s="1"/>
  <c r="P528" i="13"/>
  <c r="M525" i="13"/>
  <c r="M526" i="13"/>
  <c r="P526" i="13" s="1"/>
  <c r="P549" i="13"/>
  <c r="M547" i="13"/>
  <c r="P547" i="13" s="1"/>
  <c r="M546" i="13"/>
  <c r="P546" i="13" s="1"/>
  <c r="I64" i="13"/>
  <c r="K64" i="13" s="1"/>
  <c r="K76" i="13"/>
  <c r="L13" i="13"/>
  <c r="L11" i="13" s="1"/>
  <c r="O404" i="2"/>
  <c r="P424" i="12"/>
  <c r="M421" i="12"/>
  <c r="K364" i="5"/>
  <c r="O419" i="7"/>
  <c r="O351" i="9"/>
  <c r="O181" i="9"/>
  <c r="K417" i="9"/>
  <c r="N181" i="10"/>
  <c r="P181" i="10" s="1"/>
  <c r="P347" i="3"/>
  <c r="O43" i="6"/>
  <c r="L261" i="8"/>
  <c r="O167" i="8"/>
  <c r="O91" i="10"/>
  <c r="O167" i="10"/>
  <c r="O347" i="11"/>
  <c r="M422" i="12"/>
  <c r="P422" i="12" s="1"/>
  <c r="K417" i="12"/>
  <c r="L786" i="12"/>
  <c r="O786" i="12" s="1"/>
  <c r="M16" i="12"/>
  <c r="M14" i="12" s="1"/>
  <c r="P14" i="12" s="1"/>
  <c r="L53" i="12"/>
  <c r="O53" i="12" s="1"/>
  <c r="P181" i="5"/>
  <c r="O470" i="7"/>
  <c r="M119" i="7"/>
  <c r="P119" i="7" s="1"/>
  <c r="N181" i="7"/>
  <c r="O181" i="7" s="1"/>
  <c r="O43" i="7"/>
  <c r="K76" i="8"/>
  <c r="L41" i="8"/>
  <c r="L419" i="10"/>
  <c r="O419" i="10" s="1"/>
  <c r="M421" i="11"/>
  <c r="P421" i="11" s="1"/>
  <c r="P43" i="11"/>
  <c r="M132" i="12"/>
  <c r="P132" i="12" s="1"/>
  <c r="L132" i="12"/>
  <c r="O132" i="12" s="1"/>
  <c r="P44" i="12"/>
  <c r="O55" i="11"/>
  <c r="P391" i="12"/>
  <c r="M389" i="12"/>
  <c r="P389" i="12" s="1"/>
  <c r="O59" i="3"/>
  <c r="L419" i="5"/>
  <c r="K434" i="7"/>
  <c r="P184" i="8"/>
  <c r="P317" i="8"/>
  <c r="O88" i="9"/>
  <c r="P90" i="10"/>
  <c r="I543" i="10"/>
  <c r="K543" i="10" s="1"/>
  <c r="L298" i="12"/>
  <c r="O298" i="12" s="1"/>
  <c r="M277" i="12"/>
  <c r="P277" i="12" s="1"/>
  <c r="L685" i="12"/>
  <c r="O685" i="12" s="1"/>
  <c r="O446" i="12"/>
  <c r="L444" i="12"/>
  <c r="O444" i="12" s="1"/>
  <c r="L31" i="12"/>
  <c r="O31" i="12" s="1"/>
  <c r="L149" i="12"/>
  <c r="O149" i="12" s="1"/>
  <c r="M298" i="6"/>
  <c r="P298" i="6" s="1"/>
  <c r="O317" i="6"/>
  <c r="J417" i="10"/>
  <c r="K417" i="10" s="1"/>
  <c r="M467" i="12"/>
  <c r="P467" i="12" s="1"/>
  <c r="O279" i="12"/>
  <c r="L277" i="12"/>
  <c r="O277" i="12" s="1"/>
  <c r="O183" i="12"/>
  <c r="P183" i="12"/>
  <c r="O26" i="12"/>
  <c r="L16" i="12"/>
  <c r="O16" i="12" s="1"/>
  <c r="O15" i="12"/>
  <c r="M21" i="12"/>
  <c r="P23" i="12"/>
  <c r="M20" i="12"/>
  <c r="M18" i="12" s="1"/>
  <c r="O264" i="7"/>
  <c r="P55" i="7"/>
  <c r="L149" i="7"/>
  <c r="O149" i="7" s="1"/>
  <c r="O421" i="7"/>
  <c r="P183" i="5"/>
  <c r="L149" i="8"/>
  <c r="O149" i="8" s="1"/>
  <c r="O347" i="9"/>
  <c r="P43" i="9"/>
  <c r="O181" i="10"/>
  <c r="K76" i="11"/>
  <c r="L20" i="11"/>
  <c r="L18" i="11" s="1"/>
  <c r="P53" i="11"/>
  <c r="M298" i="12"/>
  <c r="P298" i="12" s="1"/>
  <c r="P330" i="12"/>
  <c r="N328" i="12"/>
  <c r="P328" i="12" s="1"/>
  <c r="P90" i="12"/>
  <c r="N88" i="12"/>
  <c r="P88" i="12" s="1"/>
  <c r="I131" i="12"/>
  <c r="K131" i="12" s="1"/>
  <c r="K143" i="12"/>
  <c r="P19" i="12"/>
  <c r="P43" i="12"/>
  <c r="L9" i="12"/>
  <c r="N20" i="12"/>
  <c r="N18" i="12" s="1"/>
  <c r="N13" i="12"/>
  <c r="N10" i="12" s="1"/>
  <c r="N21" i="12"/>
  <c r="O151" i="2"/>
  <c r="M315" i="5"/>
  <c r="P315" i="5" s="1"/>
  <c r="M165" i="5"/>
  <c r="O446" i="8"/>
  <c r="P181" i="9"/>
  <c r="L523" i="9"/>
  <c r="O523" i="9" s="1"/>
  <c r="N16" i="11"/>
  <c r="N14" i="11" s="1"/>
  <c r="M66" i="11"/>
  <c r="P66" i="11" s="1"/>
  <c r="O347" i="12"/>
  <c r="N345" i="12"/>
  <c r="O345" i="12" s="1"/>
  <c r="O167" i="12"/>
  <c r="P167" i="12"/>
  <c r="K77" i="12"/>
  <c r="I65" i="12"/>
  <c r="K65" i="12" s="1"/>
  <c r="O23" i="12"/>
  <c r="L20" i="12"/>
  <c r="O20" i="12" s="1"/>
  <c r="L13" i="12"/>
  <c r="L21" i="12"/>
  <c r="O21" i="12" s="1"/>
  <c r="P12" i="12"/>
  <c r="M9" i="12"/>
  <c r="O41" i="12"/>
  <c r="N181" i="12"/>
  <c r="L227" i="12"/>
  <c r="O238" i="12"/>
  <c r="N9" i="12"/>
  <c r="P41" i="12"/>
  <c r="M402" i="7"/>
  <c r="P402" i="7" s="1"/>
  <c r="O183" i="8"/>
  <c r="K417" i="8"/>
  <c r="O134" i="9"/>
  <c r="N53" i="10"/>
  <c r="P53" i="10" s="1"/>
  <c r="O55" i="10"/>
  <c r="M315" i="11"/>
  <c r="P315" i="11" s="1"/>
  <c r="M20" i="11"/>
  <c r="M18" i="11" s="1"/>
  <c r="L298" i="11"/>
  <c r="O298" i="11" s="1"/>
  <c r="M446" i="12"/>
  <c r="M447" i="12"/>
  <c r="P447" i="12" s="1"/>
  <c r="P449" i="12"/>
  <c r="M33" i="12"/>
  <c r="M13" i="12" s="1"/>
  <c r="M11" i="12" s="1"/>
  <c r="P347" i="12"/>
  <c r="M345" i="12"/>
  <c r="P55" i="11"/>
  <c r="I226" i="12"/>
  <c r="K237" i="12"/>
  <c r="P391" i="10"/>
  <c r="M389" i="10"/>
  <c r="P389" i="10" s="1"/>
  <c r="O29" i="12"/>
  <c r="N165" i="12"/>
  <c r="O43" i="12"/>
  <c r="O90" i="12"/>
  <c r="L88" i="12"/>
  <c r="K77" i="6"/>
  <c r="P43" i="8"/>
  <c r="P348" i="10"/>
  <c r="P90" i="11"/>
  <c r="O419" i="12"/>
  <c r="K434" i="12"/>
  <c r="I418" i="12"/>
  <c r="K418" i="12" s="1"/>
  <c r="N414" i="12"/>
  <c r="O121" i="12"/>
  <c r="L119" i="12"/>
  <c r="O119" i="12" s="1"/>
  <c r="P317" i="12"/>
  <c r="M315" i="12"/>
  <c r="P315" i="12" s="1"/>
  <c r="M53" i="12"/>
  <c r="P53" i="12" s="1"/>
  <c r="O19" i="12"/>
  <c r="P279" i="10"/>
  <c r="M277" i="10"/>
  <c r="P277" i="10" s="1"/>
  <c r="L402" i="11"/>
  <c r="O402" i="11" s="1"/>
  <c r="L24" i="12"/>
  <c r="O24" i="12" s="1"/>
  <c r="P88" i="10"/>
  <c r="M33" i="11"/>
  <c r="M13" i="11" s="1"/>
  <c r="M11" i="11" s="1"/>
  <c r="O90" i="11"/>
  <c r="P279" i="11"/>
  <c r="M277" i="11"/>
  <c r="P277" i="11" s="1"/>
  <c r="P347" i="11"/>
  <c r="M345" i="11"/>
  <c r="P345" i="11" s="1"/>
  <c r="O90" i="8"/>
  <c r="M470" i="9"/>
  <c r="P470" i="9" s="1"/>
  <c r="M277" i="9"/>
  <c r="P277" i="9" s="1"/>
  <c r="M119" i="8"/>
  <c r="P119" i="8" s="1"/>
  <c r="O547" i="10"/>
  <c r="L66" i="10"/>
  <c r="O66" i="10" s="1"/>
  <c r="O90" i="10"/>
  <c r="P132" i="9"/>
  <c r="O184" i="11"/>
  <c r="L66" i="11"/>
  <c r="O66" i="11" s="1"/>
  <c r="M298" i="11"/>
  <c r="P298" i="11" s="1"/>
  <c r="N88" i="11"/>
  <c r="P88" i="11" s="1"/>
  <c r="L467" i="11"/>
  <c r="O467" i="11" s="1"/>
  <c r="M66" i="10"/>
  <c r="P66" i="10" s="1"/>
  <c r="L24" i="11"/>
  <c r="O24" i="11" s="1"/>
  <c r="P330" i="11"/>
  <c r="M328" i="11"/>
  <c r="P328" i="11" s="1"/>
  <c r="L277" i="10"/>
  <c r="O277" i="10" s="1"/>
  <c r="K433" i="11"/>
  <c r="M470" i="11"/>
  <c r="P470" i="11" s="1"/>
  <c r="P472" i="11"/>
  <c r="O151" i="11"/>
  <c r="L149" i="11"/>
  <c r="O149" i="11" s="1"/>
  <c r="P167" i="8"/>
  <c r="O132" i="9"/>
  <c r="O41" i="9"/>
  <c r="O66" i="9"/>
  <c r="P167" i="10"/>
  <c r="O43" i="10"/>
  <c r="L21" i="11"/>
  <c r="O345" i="11"/>
  <c r="O279" i="11"/>
  <c r="L277" i="11"/>
  <c r="O277" i="11" s="1"/>
  <c r="O121" i="11"/>
  <c r="L119" i="11"/>
  <c r="O119" i="11" s="1"/>
  <c r="M30" i="11"/>
  <c r="K174" i="11"/>
  <c r="I164" i="11"/>
  <c r="K164" i="11" s="1"/>
  <c r="O167" i="11"/>
  <c r="L165" i="11"/>
  <c r="L328" i="11"/>
  <c r="O328" i="11" s="1"/>
  <c r="O330" i="11"/>
  <c r="N20" i="11"/>
  <c r="N18" i="11" s="1"/>
  <c r="N13" i="11"/>
  <c r="N21" i="11"/>
  <c r="P21" i="11" s="1"/>
  <c r="P631" i="2"/>
  <c r="L119" i="4"/>
  <c r="O119" i="4" s="1"/>
  <c r="M165" i="8"/>
  <c r="P165" i="8" s="1"/>
  <c r="K434" i="9"/>
  <c r="O68" i="9"/>
  <c r="L389" i="10"/>
  <c r="O389" i="10" s="1"/>
  <c r="O165" i="9"/>
  <c r="P545" i="11"/>
  <c r="M544" i="11"/>
  <c r="P544" i="11" s="1"/>
  <c r="P657" i="11"/>
  <c r="M655" i="11"/>
  <c r="P655" i="11" s="1"/>
  <c r="L544" i="11"/>
  <c r="O544" i="11" s="1"/>
  <c r="P404" i="11"/>
  <c r="M402" i="11"/>
  <c r="P402" i="11" s="1"/>
  <c r="P19" i="11"/>
  <c r="M119" i="11"/>
  <c r="P119" i="11" s="1"/>
  <c r="O41" i="11"/>
  <c r="O12" i="11"/>
  <c r="L9" i="11"/>
  <c r="L629" i="11"/>
  <c r="O629" i="11" s="1"/>
  <c r="O631" i="11"/>
  <c r="K417" i="11"/>
  <c r="L419" i="2"/>
  <c r="O419" i="2" s="1"/>
  <c r="P165" i="9"/>
  <c r="P167" i="11"/>
  <c r="N165" i="11"/>
  <c r="P165" i="11" s="1"/>
  <c r="P12" i="11"/>
  <c r="M9" i="11"/>
  <c r="M467" i="11"/>
  <c r="P467" i="11" s="1"/>
  <c r="P469" i="11"/>
  <c r="O546" i="10"/>
  <c r="L544" i="10"/>
  <c r="O544" i="10" s="1"/>
  <c r="M261" i="11"/>
  <c r="P261" i="11" s="1"/>
  <c r="P168" i="11"/>
  <c r="L30" i="11"/>
  <c r="O23" i="11"/>
  <c r="N30" i="11"/>
  <c r="N28" i="11" s="1"/>
  <c r="N31" i="11"/>
  <c r="O31" i="11" s="1"/>
  <c r="L544" i="3"/>
  <c r="O544" i="3" s="1"/>
  <c r="O525" i="11"/>
  <c r="L523" i="11"/>
  <c r="O523" i="11" s="1"/>
  <c r="M132" i="11"/>
  <c r="P132" i="11" s="1"/>
  <c r="P134" i="11"/>
  <c r="O419" i="11"/>
  <c r="M24" i="11"/>
  <c r="P24" i="11" s="1"/>
  <c r="P26" i="11"/>
  <c r="M16" i="11"/>
  <c r="K237" i="11"/>
  <c r="I226" i="11"/>
  <c r="O446" i="10"/>
  <c r="L444" i="10"/>
  <c r="O444" i="10" s="1"/>
  <c r="M631" i="11"/>
  <c r="P634" i="11"/>
  <c r="M632" i="11"/>
  <c r="P632" i="11" s="1"/>
  <c r="O33" i="11"/>
  <c r="P23" i="11"/>
  <c r="O687" i="11"/>
  <c r="L685" i="11"/>
  <c r="O685" i="11" s="1"/>
  <c r="O26" i="11"/>
  <c r="L16" i="11"/>
  <c r="O446" i="11"/>
  <c r="L444" i="11"/>
  <c r="O444" i="11" s="1"/>
  <c r="L34" i="11"/>
  <c r="O34" i="11" s="1"/>
  <c r="P41" i="11"/>
  <c r="P167" i="9"/>
  <c r="N165" i="10"/>
  <c r="O165" i="10" s="1"/>
  <c r="M261" i="10"/>
  <c r="P261" i="10" s="1"/>
  <c r="K559" i="11"/>
  <c r="I543" i="11"/>
  <c r="K543" i="11" s="1"/>
  <c r="M149" i="11"/>
  <c r="P149" i="11" s="1"/>
  <c r="P183" i="11"/>
  <c r="N181" i="11"/>
  <c r="P181" i="11" s="1"/>
  <c r="O19" i="11"/>
  <c r="O183" i="11"/>
  <c r="O55" i="9"/>
  <c r="M41" i="10"/>
  <c r="P41" i="10" s="1"/>
  <c r="M261" i="8"/>
  <c r="P261" i="8" s="1"/>
  <c r="P183" i="8"/>
  <c r="M149" i="10"/>
  <c r="P149" i="10" s="1"/>
  <c r="M119" i="10"/>
  <c r="P119" i="10" s="1"/>
  <c r="M447" i="10"/>
  <c r="P447" i="10" s="1"/>
  <c r="M446" i="10"/>
  <c r="P449" i="10"/>
  <c r="O347" i="10"/>
  <c r="L345" i="10"/>
  <c r="O345" i="10" s="1"/>
  <c r="N16" i="10"/>
  <c r="N14" i="10" s="1"/>
  <c r="N24" i="10"/>
  <c r="O24" i="10" s="1"/>
  <c r="P121" i="6"/>
  <c r="L261" i="9"/>
  <c r="O261" i="9" s="1"/>
  <c r="K433" i="9"/>
  <c r="O348" i="10"/>
  <c r="O183" i="10"/>
  <c r="O88" i="10"/>
  <c r="I226" i="10"/>
  <c r="M33" i="10"/>
  <c r="P33" i="10" s="1"/>
  <c r="P69" i="9"/>
  <c r="P55" i="9"/>
  <c r="O657" i="10"/>
  <c r="L655" i="10"/>
  <c r="O655" i="10" s="1"/>
  <c r="N30" i="10"/>
  <c r="N28" i="10" s="1"/>
  <c r="N31" i="10"/>
  <c r="P19" i="10"/>
  <c r="O687" i="9"/>
  <c r="L685" i="9"/>
  <c r="O685" i="9" s="1"/>
  <c r="O546" i="2"/>
  <c r="L786" i="5"/>
  <c r="O786" i="5" s="1"/>
  <c r="K434" i="6"/>
  <c r="P168" i="5"/>
  <c r="P660" i="7"/>
  <c r="M181" i="8"/>
  <c r="P181" i="8" s="1"/>
  <c r="P26" i="9"/>
  <c r="M66" i="9"/>
  <c r="P66" i="9" s="1"/>
  <c r="P53" i="9"/>
  <c r="P351" i="9"/>
  <c r="M20" i="9"/>
  <c r="M18" i="9" s="1"/>
  <c r="K434" i="10"/>
  <c r="I418" i="10"/>
  <c r="K418" i="10" s="1"/>
  <c r="P12" i="10"/>
  <c r="M9" i="10"/>
  <c r="O238" i="10"/>
  <c r="L227" i="10"/>
  <c r="J364" i="10"/>
  <c r="K364" i="10" s="1"/>
  <c r="K365" i="10"/>
  <c r="I64" i="10"/>
  <c r="K64" i="10" s="1"/>
  <c r="K76" i="10"/>
  <c r="O33" i="10"/>
  <c r="O55" i="6"/>
  <c r="O279" i="7"/>
  <c r="O41" i="10"/>
  <c r="N20" i="10"/>
  <c r="N18" i="10" s="1"/>
  <c r="N13" i="10"/>
  <c r="N21" i="10"/>
  <c r="P21" i="10" s="1"/>
  <c r="O23" i="10"/>
  <c r="L20" i="10"/>
  <c r="L13" i="10"/>
  <c r="L11" i="10" s="1"/>
  <c r="L21" i="10"/>
  <c r="K559" i="3"/>
  <c r="M66" i="8"/>
  <c r="P66" i="8" s="1"/>
  <c r="O167" i="9"/>
  <c r="P547" i="10"/>
  <c r="M24" i="10"/>
  <c r="P26" i="10"/>
  <c r="M16" i="10"/>
  <c r="M20" i="10"/>
  <c r="M18" i="10" s="1"/>
  <c r="N261" i="10"/>
  <c r="O261" i="10" s="1"/>
  <c r="O12" i="10"/>
  <c r="L9" i="10"/>
  <c r="K77" i="10"/>
  <c r="I65" i="10"/>
  <c r="K65" i="10" s="1"/>
  <c r="M389" i="7"/>
  <c r="P389" i="7" s="1"/>
  <c r="P90" i="8"/>
  <c r="L345" i="9"/>
  <c r="O345" i="9" s="1"/>
  <c r="M544" i="10"/>
  <c r="P544" i="10" s="1"/>
  <c r="P546" i="10"/>
  <c r="M419" i="10"/>
  <c r="P421" i="10"/>
  <c r="P23" i="10"/>
  <c r="O19" i="10"/>
  <c r="M547" i="5"/>
  <c r="P547" i="5" s="1"/>
  <c r="O263" i="7"/>
  <c r="P55" i="8"/>
  <c r="P472" i="9"/>
  <c r="P134" i="9"/>
  <c r="O330" i="9"/>
  <c r="O26" i="10"/>
  <c r="L16" i="10"/>
  <c r="P56" i="10"/>
  <c r="O56" i="10"/>
  <c r="M467" i="9"/>
  <c r="P467" i="9" s="1"/>
  <c r="L16" i="9"/>
  <c r="L14" i="9" s="1"/>
  <c r="O14" i="9" s="1"/>
  <c r="O43" i="9"/>
  <c r="M21" i="9"/>
  <c r="P121" i="9"/>
  <c r="M119" i="9"/>
  <c r="P119" i="9" s="1"/>
  <c r="N21" i="8"/>
  <c r="P21" i="8" s="1"/>
  <c r="N24" i="9"/>
  <c r="O24" i="9" s="1"/>
  <c r="O183" i="9"/>
  <c r="O26" i="9"/>
  <c r="O36" i="9"/>
  <c r="L34" i="9"/>
  <c r="O34" i="9" s="1"/>
  <c r="O469" i="9"/>
  <c r="L132" i="6"/>
  <c r="O132" i="6" s="1"/>
  <c r="P167" i="6"/>
  <c r="L419" i="9"/>
  <c r="O419" i="9" s="1"/>
  <c r="P183" i="9"/>
  <c r="O238" i="9"/>
  <c r="L227" i="9"/>
  <c r="P263" i="9"/>
  <c r="M261" i="9"/>
  <c r="P261" i="9" s="1"/>
  <c r="L119" i="8"/>
  <c r="O119" i="8" s="1"/>
  <c r="L277" i="5"/>
  <c r="O277" i="5" s="1"/>
  <c r="O181" i="8"/>
  <c r="O404" i="9"/>
  <c r="L402" i="9"/>
  <c r="O402" i="9" s="1"/>
  <c r="L444" i="9"/>
  <c r="O444" i="9" s="1"/>
  <c r="O446" i="9"/>
  <c r="K537" i="2"/>
  <c r="L389" i="8"/>
  <c r="O389" i="8" s="1"/>
  <c r="P545" i="9"/>
  <c r="I131" i="9"/>
  <c r="K131" i="9" s="1"/>
  <c r="K143" i="9"/>
  <c r="P88" i="9"/>
  <c r="P301" i="9"/>
  <c r="O301" i="9"/>
  <c r="K237" i="9"/>
  <c r="I226" i="9"/>
  <c r="N21" i="9"/>
  <c r="N13" i="9"/>
  <c r="N20" i="9"/>
  <c r="P23" i="9"/>
  <c r="M14" i="9"/>
  <c r="P14" i="9" s="1"/>
  <c r="P15" i="9"/>
  <c r="O687" i="8"/>
  <c r="L685" i="8"/>
  <c r="O685" i="8" s="1"/>
  <c r="L315" i="9"/>
  <c r="O315" i="9" s="1"/>
  <c r="O15" i="9"/>
  <c r="O90" i="9"/>
  <c r="P90" i="9"/>
  <c r="O546" i="9"/>
  <c r="L544" i="9"/>
  <c r="O544" i="9" s="1"/>
  <c r="P151" i="5"/>
  <c r="M261" i="7"/>
  <c r="P261" i="7" s="1"/>
  <c r="O44" i="8"/>
  <c r="O631" i="7"/>
  <c r="P43" i="6"/>
  <c r="O44" i="9"/>
  <c r="P44" i="9"/>
  <c r="K174" i="9"/>
  <c r="I164" i="9"/>
  <c r="K164" i="9" s="1"/>
  <c r="K76" i="9"/>
  <c r="I64" i="9"/>
  <c r="K64" i="9" s="1"/>
  <c r="M546" i="9"/>
  <c r="P546" i="9" s="1"/>
  <c r="P549" i="9"/>
  <c r="M547" i="9"/>
  <c r="P547" i="9" s="1"/>
  <c r="M33" i="9"/>
  <c r="N20" i="6"/>
  <c r="N18" i="6" s="1"/>
  <c r="L66" i="7"/>
  <c r="O66" i="7" s="1"/>
  <c r="L149" i="9"/>
  <c r="O149" i="9" s="1"/>
  <c r="O23" i="9"/>
  <c r="L20" i="9"/>
  <c r="L13" i="9"/>
  <c r="L21" i="9"/>
  <c r="P16" i="9"/>
  <c r="P41" i="9"/>
  <c r="K77" i="9"/>
  <c r="I65" i="9"/>
  <c r="K65" i="9" s="1"/>
  <c r="P9" i="9"/>
  <c r="M419" i="9"/>
  <c r="P421" i="9"/>
  <c r="M345" i="9"/>
  <c r="P345" i="9" s="1"/>
  <c r="P347" i="9"/>
  <c r="O279" i="9"/>
  <c r="L277" i="9"/>
  <c r="O277" i="9" s="1"/>
  <c r="O9" i="9"/>
  <c r="M328" i="9"/>
  <c r="P328" i="9" s="1"/>
  <c r="P330" i="9"/>
  <c r="O53" i="9"/>
  <c r="O29" i="9"/>
  <c r="O347" i="5"/>
  <c r="K365" i="9"/>
  <c r="J364" i="9"/>
  <c r="K364" i="9" s="1"/>
  <c r="N298" i="9"/>
  <c r="O298" i="9" s="1"/>
  <c r="P300" i="9"/>
  <c r="O300" i="9"/>
  <c r="P29" i="9"/>
  <c r="N88" i="8"/>
  <c r="P88" i="8" s="1"/>
  <c r="K559" i="9"/>
  <c r="I543" i="9"/>
  <c r="K543" i="9" s="1"/>
  <c r="M657" i="9"/>
  <c r="P660" i="9"/>
  <c r="M658" i="9"/>
  <c r="P658" i="9" s="1"/>
  <c r="M389" i="8"/>
  <c r="P389" i="8" s="1"/>
  <c r="L328" i="9"/>
  <c r="O328" i="9" s="1"/>
  <c r="M444" i="9"/>
  <c r="P444" i="9" s="1"/>
  <c r="P446" i="9"/>
  <c r="L119" i="9"/>
  <c r="O119" i="9" s="1"/>
  <c r="O33" i="9"/>
  <c r="L30" i="9"/>
  <c r="O30" i="9" s="1"/>
  <c r="L31" i="9"/>
  <c r="O31" i="9" s="1"/>
  <c r="L389" i="9"/>
  <c r="O389" i="9" s="1"/>
  <c r="P328" i="8"/>
  <c r="O345" i="5"/>
  <c r="P55" i="6"/>
  <c r="P68" i="7"/>
  <c r="L277" i="8"/>
  <c r="O277" i="8" s="1"/>
  <c r="M261" i="2"/>
  <c r="P261" i="2" s="1"/>
  <c r="M389" i="3"/>
  <c r="P389" i="3" s="1"/>
  <c r="M41" i="6"/>
  <c r="P41" i="6" s="1"/>
  <c r="M685" i="8"/>
  <c r="P685" i="8" s="1"/>
  <c r="P168" i="8"/>
  <c r="O317" i="8"/>
  <c r="L315" i="8"/>
  <c r="O315" i="8" s="1"/>
  <c r="M41" i="8"/>
  <c r="P41" i="8" s="1"/>
  <c r="N53" i="8"/>
  <c r="P53" i="8" s="1"/>
  <c r="O469" i="4"/>
  <c r="M277" i="6"/>
  <c r="P277" i="6" s="1"/>
  <c r="O347" i="6"/>
  <c r="K364" i="7"/>
  <c r="L34" i="7"/>
  <c r="O34" i="7" s="1"/>
  <c r="O33" i="7"/>
  <c r="O657" i="6"/>
  <c r="O183" i="6"/>
  <c r="O687" i="7"/>
  <c r="L165" i="8"/>
  <c r="O165" i="8" s="1"/>
  <c r="P151" i="8"/>
  <c r="M149" i="8"/>
  <c r="P149" i="8" s="1"/>
  <c r="O261" i="8"/>
  <c r="O631" i="8"/>
  <c r="L629" i="8"/>
  <c r="O629" i="8" s="1"/>
  <c r="P404" i="8"/>
  <c r="M402" i="8"/>
  <c r="P402" i="8" s="1"/>
  <c r="L786" i="4"/>
  <c r="O786" i="4" s="1"/>
  <c r="K543" i="6"/>
  <c r="L523" i="8"/>
  <c r="O523" i="8" s="1"/>
  <c r="O525" i="8"/>
  <c r="P328" i="6"/>
  <c r="O55" i="8"/>
  <c r="L53" i="8"/>
  <c r="P348" i="8"/>
  <c r="O348" i="8"/>
  <c r="O90" i="2"/>
  <c r="P90" i="5"/>
  <c r="L34" i="5"/>
  <c r="O34" i="5" s="1"/>
  <c r="K364" i="6"/>
  <c r="L53" i="6"/>
  <c r="L119" i="6"/>
  <c r="O119" i="6" s="1"/>
  <c r="N24" i="6"/>
  <c r="M149" i="7"/>
  <c r="P149" i="7" s="1"/>
  <c r="I64" i="7"/>
  <c r="K64" i="7" s="1"/>
  <c r="I164" i="7"/>
  <c r="K164" i="7" s="1"/>
  <c r="M298" i="7"/>
  <c r="P298" i="7" s="1"/>
  <c r="I131" i="8"/>
  <c r="K131" i="8" s="1"/>
  <c r="K143" i="8"/>
  <c r="O12" i="8"/>
  <c r="L9" i="8"/>
  <c r="P330" i="8"/>
  <c r="O330" i="8"/>
  <c r="P23" i="8"/>
  <c r="M20" i="8"/>
  <c r="N11" i="8"/>
  <c r="O33" i="8"/>
  <c r="L30" i="8"/>
  <c r="L31" i="8"/>
  <c r="O31" i="8" s="1"/>
  <c r="P12" i="8"/>
  <c r="M9" i="8"/>
  <c r="P29" i="8"/>
  <c r="P347" i="8"/>
  <c r="O347" i="8"/>
  <c r="L655" i="8"/>
  <c r="O655" i="8" s="1"/>
  <c r="O23" i="8"/>
  <c r="L20" i="8"/>
  <c r="L21" i="8"/>
  <c r="L13" i="8"/>
  <c r="M277" i="4"/>
  <c r="P277" i="4" s="1"/>
  <c r="P134" i="5"/>
  <c r="K364" i="4"/>
  <c r="L16" i="5"/>
  <c r="O16" i="5" s="1"/>
  <c r="N14" i="6"/>
  <c r="N24" i="8"/>
  <c r="N16" i="8"/>
  <c r="N14" i="8" s="1"/>
  <c r="P351" i="8"/>
  <c r="O351" i="8"/>
  <c r="O26" i="8"/>
  <c r="L16" i="8"/>
  <c r="L24" i="8"/>
  <c r="O24" i="8" s="1"/>
  <c r="N20" i="8"/>
  <c r="N18" i="8" s="1"/>
  <c r="P19" i="8"/>
  <c r="O41" i="8"/>
  <c r="O421" i="8"/>
  <c r="L419" i="8"/>
  <c r="P55" i="3"/>
  <c r="O347" i="3"/>
  <c r="L402" i="5"/>
  <c r="O402" i="5" s="1"/>
  <c r="L31" i="5"/>
  <c r="O31" i="5" s="1"/>
  <c r="N21" i="5"/>
  <c r="M315" i="6"/>
  <c r="P315" i="6" s="1"/>
  <c r="L30" i="7"/>
  <c r="O30" i="7" s="1"/>
  <c r="M446" i="8"/>
  <c r="M447" i="8"/>
  <c r="P447" i="8" s="1"/>
  <c r="P449" i="8"/>
  <c r="P424" i="8"/>
  <c r="M421" i="8"/>
  <c r="M33" i="8"/>
  <c r="M13" i="8" s="1"/>
  <c r="M11" i="8" s="1"/>
  <c r="M422" i="8"/>
  <c r="P422" i="8" s="1"/>
  <c r="P469" i="8"/>
  <c r="K559" i="8"/>
  <c r="I543" i="8"/>
  <c r="K543" i="8" s="1"/>
  <c r="P331" i="8"/>
  <c r="O331" i="8"/>
  <c r="N345" i="8"/>
  <c r="O546" i="8"/>
  <c r="L544" i="8"/>
  <c r="O544" i="8" s="1"/>
  <c r="O183" i="4"/>
  <c r="O330" i="6"/>
  <c r="L786" i="6"/>
  <c r="O786" i="6" s="1"/>
  <c r="K559" i="6"/>
  <c r="O21" i="7"/>
  <c r="L315" i="7"/>
  <c r="O315" i="7" s="1"/>
  <c r="O23" i="7"/>
  <c r="O238" i="8"/>
  <c r="L227" i="8"/>
  <c r="P549" i="8"/>
  <c r="M546" i="8"/>
  <c r="P546" i="8" s="1"/>
  <c r="M547" i="8"/>
  <c r="P547" i="8" s="1"/>
  <c r="I226" i="8"/>
  <c r="K248" i="8"/>
  <c r="O19" i="8"/>
  <c r="L34" i="4"/>
  <c r="O34" i="4" s="1"/>
  <c r="L444" i="6"/>
  <c r="O444" i="6" s="1"/>
  <c r="O183" i="7"/>
  <c r="M277" i="8"/>
  <c r="P545" i="8"/>
  <c r="N414" i="8"/>
  <c r="O134" i="8"/>
  <c r="L132" i="8"/>
  <c r="O132" i="8" s="1"/>
  <c r="P300" i="8"/>
  <c r="M298" i="8"/>
  <c r="P298" i="8" s="1"/>
  <c r="P26" i="8"/>
  <c r="M16" i="8"/>
  <c r="M24" i="8"/>
  <c r="P15" i="8"/>
  <c r="O36" i="8"/>
  <c r="L34" i="8"/>
  <c r="O34" i="8" s="1"/>
  <c r="L261" i="7"/>
  <c r="O261" i="7" s="1"/>
  <c r="P21" i="7"/>
  <c r="P66" i="2"/>
  <c r="O298" i="5"/>
  <c r="L24" i="5"/>
  <c r="K77" i="5"/>
  <c r="L227" i="7"/>
  <c r="I65" i="7"/>
  <c r="K65" i="7" s="1"/>
  <c r="L13" i="7"/>
  <c r="L11" i="7" s="1"/>
  <c r="O11" i="7" s="1"/>
  <c r="O421" i="3"/>
  <c r="P151" i="3"/>
  <c r="O277" i="3"/>
  <c r="P183" i="4"/>
  <c r="P330" i="5"/>
  <c r="O330" i="5"/>
  <c r="L149" i="6"/>
  <c r="O149" i="6" s="1"/>
  <c r="M419" i="7"/>
  <c r="P419" i="7" s="1"/>
  <c r="L544" i="7"/>
  <c r="O544" i="7" s="1"/>
  <c r="L20" i="7"/>
  <c r="L18" i="7" s="1"/>
  <c r="L16" i="7"/>
  <c r="O88" i="6"/>
  <c r="L13" i="5"/>
  <c r="O13" i="5" s="1"/>
  <c r="P183" i="6"/>
  <c r="L24" i="7"/>
  <c r="L389" i="7"/>
  <c r="O389" i="7" s="1"/>
  <c r="O391" i="7"/>
  <c r="L132" i="7"/>
  <c r="O132" i="7" s="1"/>
  <c r="O134" i="7"/>
  <c r="L34" i="2"/>
  <c r="O34" i="2" s="1"/>
  <c r="O263" i="2"/>
  <c r="O328" i="3"/>
  <c r="I64" i="4"/>
  <c r="K64" i="4" s="1"/>
  <c r="M66" i="4"/>
  <c r="P66" i="4" s="1"/>
  <c r="O629" i="5"/>
  <c r="P165" i="5"/>
  <c r="K76" i="5"/>
  <c r="O23" i="5"/>
  <c r="P404" i="6"/>
  <c r="O167" i="6"/>
  <c r="O90" i="6"/>
  <c r="L41" i="6"/>
  <c r="P330" i="6"/>
  <c r="P688" i="7"/>
  <c r="O688" i="7"/>
  <c r="K669" i="7"/>
  <c r="J654" i="7"/>
  <c r="K654" i="7" s="1"/>
  <c r="I64" i="6"/>
  <c r="K64" i="6" s="1"/>
  <c r="K76" i="6"/>
  <c r="P331" i="7"/>
  <c r="O55" i="7"/>
  <c r="L53" i="7"/>
  <c r="O125" i="5"/>
  <c r="K433" i="7"/>
  <c r="J417" i="7"/>
  <c r="K417" i="7" s="1"/>
  <c r="P470" i="7"/>
  <c r="N345" i="7"/>
  <c r="O345" i="7" s="1"/>
  <c r="P347" i="7"/>
  <c r="O347" i="7"/>
  <c r="O29" i="7"/>
  <c r="I226" i="7"/>
  <c r="K237" i="7"/>
  <c r="P15" i="7"/>
  <c r="P19" i="7"/>
  <c r="P23" i="7"/>
  <c r="M20" i="7"/>
  <c r="P26" i="7"/>
  <c r="M16" i="7"/>
  <c r="O15" i="7"/>
  <c r="O26" i="7"/>
  <c r="N16" i="7"/>
  <c r="P43" i="7"/>
  <c r="M41" i="7"/>
  <c r="L165" i="7"/>
  <c r="O167" i="7"/>
  <c r="P91" i="7"/>
  <c r="O91" i="7"/>
  <c r="O631" i="5"/>
  <c r="P404" i="5"/>
  <c r="O525" i="7"/>
  <c r="L523" i="7"/>
  <c r="O523" i="7" s="1"/>
  <c r="P449" i="7"/>
  <c r="M447" i="7"/>
  <c r="P447" i="7" s="1"/>
  <c r="M446" i="7"/>
  <c r="M33" i="7"/>
  <c r="M13" i="7" s="1"/>
  <c r="N467" i="7"/>
  <c r="P467" i="7" s="1"/>
  <c r="P469" i="7"/>
  <c r="P657" i="7"/>
  <c r="M655" i="7"/>
  <c r="P655" i="7" s="1"/>
  <c r="O404" i="7"/>
  <c r="L402" i="7"/>
  <c r="O402" i="7" s="1"/>
  <c r="L9" i="7"/>
  <c r="M132" i="7"/>
  <c r="P132" i="7" s="1"/>
  <c r="P134" i="7"/>
  <c r="L328" i="7"/>
  <c r="O330" i="7"/>
  <c r="N20" i="7"/>
  <c r="K559" i="7"/>
  <c r="I543" i="7"/>
  <c r="K543" i="7" s="1"/>
  <c r="O444" i="7"/>
  <c r="O300" i="7"/>
  <c r="L298" i="7"/>
  <c r="O298" i="7" s="1"/>
  <c r="M277" i="7"/>
  <c r="P277" i="7" s="1"/>
  <c r="P90" i="7"/>
  <c r="N88" i="7"/>
  <c r="O88" i="7" s="1"/>
  <c r="M24" i="7"/>
  <c r="N24" i="7"/>
  <c r="N165" i="7"/>
  <c r="P165" i="7" s="1"/>
  <c r="M9" i="7"/>
  <c r="M24" i="5"/>
  <c r="L21" i="5"/>
  <c r="L30" i="6"/>
  <c r="L28" i="6" s="1"/>
  <c r="O469" i="7"/>
  <c r="L467" i="7"/>
  <c r="P545" i="7"/>
  <c r="M544" i="7"/>
  <c r="P544" i="7" s="1"/>
  <c r="M53" i="7"/>
  <c r="P53" i="7" s="1"/>
  <c r="P330" i="7"/>
  <c r="N328" i="7"/>
  <c r="P328" i="7" s="1"/>
  <c r="N41" i="7"/>
  <c r="L523" i="4"/>
  <c r="O523" i="4" s="1"/>
  <c r="O184" i="4"/>
  <c r="M632" i="5"/>
  <c r="P632" i="5" s="1"/>
  <c r="P347" i="5"/>
  <c r="O347" i="4"/>
  <c r="M132" i="6"/>
  <c r="P132" i="6" s="1"/>
  <c r="N53" i="6"/>
  <c r="L298" i="6"/>
  <c r="O298" i="6" s="1"/>
  <c r="O391" i="6"/>
  <c r="L389" i="6"/>
  <c r="O389" i="6" s="1"/>
  <c r="M655" i="6"/>
  <c r="P655" i="6" s="1"/>
  <c r="O263" i="6"/>
  <c r="N165" i="6"/>
  <c r="O165" i="6" s="1"/>
  <c r="P151" i="6"/>
  <c r="K143" i="6"/>
  <c r="I131" i="6"/>
  <c r="K131" i="6" s="1"/>
  <c r="O88" i="3"/>
  <c r="L277" i="6"/>
  <c r="O277" i="6" s="1"/>
  <c r="K143" i="5"/>
  <c r="L34" i="6"/>
  <c r="O34" i="6" s="1"/>
  <c r="L629" i="3"/>
  <c r="O629" i="3" s="1"/>
  <c r="O422" i="4"/>
  <c r="L16" i="4"/>
  <c r="O16" i="4" s="1"/>
  <c r="M546" i="5"/>
  <c r="P546" i="5" s="1"/>
  <c r="O56" i="5"/>
  <c r="P348" i="5"/>
  <c r="K433" i="6"/>
  <c r="J417" i="6"/>
  <c r="K417" i="6" s="1"/>
  <c r="O328" i="6"/>
  <c r="P26" i="6"/>
  <c r="M16" i="6"/>
  <c r="M261" i="6"/>
  <c r="P261" i="6" s="1"/>
  <c r="M421" i="6"/>
  <c r="P424" i="6"/>
  <c r="M422" i="6"/>
  <c r="P422" i="6" s="1"/>
  <c r="M33" i="6"/>
  <c r="M13" i="6" s="1"/>
  <c r="M20" i="6"/>
  <c r="P20" i="6" s="1"/>
  <c r="P23" i="6"/>
  <c r="L119" i="2"/>
  <c r="O119" i="2" s="1"/>
  <c r="M389" i="5"/>
  <c r="P389" i="5" s="1"/>
  <c r="O331" i="5"/>
  <c r="O43" i="5"/>
  <c r="P16" i="5"/>
  <c r="N20" i="5"/>
  <c r="N18" i="5" s="1"/>
  <c r="O547" i="6"/>
  <c r="O632" i="6"/>
  <c r="L402" i="6"/>
  <c r="O402" i="6" s="1"/>
  <c r="O23" i="6"/>
  <c r="L20" i="6"/>
  <c r="O20" i="6" s="1"/>
  <c r="L13" i="6"/>
  <c r="L21" i="6"/>
  <c r="O21" i="6" s="1"/>
  <c r="M66" i="6"/>
  <c r="P66" i="6" s="1"/>
  <c r="P68" i="6"/>
  <c r="M24" i="6"/>
  <c r="P9" i="6"/>
  <c r="I226" i="6"/>
  <c r="K237" i="6"/>
  <c r="M21" i="6"/>
  <c r="P21" i="6" s="1"/>
  <c r="P347" i="6"/>
  <c r="N345" i="6"/>
  <c r="O345" i="6" s="1"/>
  <c r="P634" i="6"/>
  <c r="M632" i="6"/>
  <c r="P632" i="6" s="1"/>
  <c r="M631" i="6"/>
  <c r="O15" i="6"/>
  <c r="L149" i="4"/>
  <c r="O149" i="4" s="1"/>
  <c r="L328" i="5"/>
  <c r="O328" i="5" s="1"/>
  <c r="P690" i="6"/>
  <c r="M687" i="6"/>
  <c r="M688" i="6"/>
  <c r="P688" i="6" s="1"/>
  <c r="N469" i="6"/>
  <c r="N467" i="6" s="1"/>
  <c r="N470" i="6"/>
  <c r="O470" i="6" s="1"/>
  <c r="O472" i="6"/>
  <c r="N33" i="6"/>
  <c r="P181" i="6"/>
  <c r="O525" i="6"/>
  <c r="L523" i="6"/>
  <c r="O523" i="6" s="1"/>
  <c r="L66" i="6"/>
  <c r="O66" i="6" s="1"/>
  <c r="O68" i="6"/>
  <c r="L9" i="6"/>
  <c r="O29" i="6"/>
  <c r="O19" i="6"/>
  <c r="P19" i="6"/>
  <c r="P298" i="5"/>
  <c r="O330" i="4"/>
  <c r="O687" i="6"/>
  <c r="N546" i="6"/>
  <c r="N547" i="6"/>
  <c r="P547" i="6" s="1"/>
  <c r="L467" i="6"/>
  <c r="O467" i="6" s="1"/>
  <c r="O469" i="6"/>
  <c r="P549" i="6"/>
  <c r="L227" i="6"/>
  <c r="O238" i="6"/>
  <c r="P90" i="6"/>
  <c r="M88" i="6"/>
  <c r="P88" i="6" s="1"/>
  <c r="L261" i="6"/>
  <c r="O261" i="6" s="1"/>
  <c r="P348" i="6"/>
  <c r="O348" i="6"/>
  <c r="O181" i="6"/>
  <c r="P280" i="3"/>
  <c r="O348" i="5"/>
  <c r="M467" i="6"/>
  <c r="P467" i="6" s="1"/>
  <c r="M544" i="6"/>
  <c r="P546" i="6"/>
  <c r="P351" i="6"/>
  <c r="O419" i="6"/>
  <c r="O26" i="6"/>
  <c r="L16" i="6"/>
  <c r="O16" i="6" s="1"/>
  <c r="O41" i="6"/>
  <c r="L24" i="6"/>
  <c r="P119" i="5"/>
  <c r="M447" i="3"/>
  <c r="P447" i="3" s="1"/>
  <c r="P43" i="3"/>
  <c r="M119" i="3"/>
  <c r="P119" i="3" s="1"/>
  <c r="O55" i="4"/>
  <c r="M419" i="5"/>
  <c r="P419" i="5" s="1"/>
  <c r="M629" i="5"/>
  <c r="P629" i="5" s="1"/>
  <c r="P634" i="5"/>
  <c r="L181" i="5"/>
  <c r="O181" i="5" s="1"/>
  <c r="L20" i="5"/>
  <c r="L18" i="5" s="1"/>
  <c r="O525" i="5"/>
  <c r="L523" i="5"/>
  <c r="O523" i="5" s="1"/>
  <c r="L655" i="5"/>
  <c r="O655" i="5" s="1"/>
  <c r="P181" i="4"/>
  <c r="L345" i="4"/>
  <c r="O345" i="4" s="1"/>
  <c r="L389" i="5"/>
  <c r="O389" i="5" s="1"/>
  <c r="O317" i="5"/>
  <c r="L315" i="5"/>
  <c r="O315" i="5" s="1"/>
  <c r="P121" i="5"/>
  <c r="P279" i="5"/>
  <c r="M277" i="5"/>
  <c r="P277" i="5" s="1"/>
  <c r="O121" i="5"/>
  <c r="L119" i="5"/>
  <c r="O119" i="5" s="1"/>
  <c r="P544" i="4"/>
  <c r="L298" i="4"/>
  <c r="O298" i="4" s="1"/>
  <c r="M402" i="3"/>
  <c r="P402" i="3" s="1"/>
  <c r="M33" i="5"/>
  <c r="P33" i="5" s="1"/>
  <c r="N132" i="5"/>
  <c r="O132" i="5" s="1"/>
  <c r="O330" i="2"/>
  <c r="P44" i="5"/>
  <c r="L30" i="5"/>
  <c r="N10" i="5"/>
  <c r="O261" i="5"/>
  <c r="P261" i="5"/>
  <c r="I418" i="5"/>
  <c r="K418" i="5" s="1"/>
  <c r="K434" i="5"/>
  <c r="O12" i="5"/>
  <c r="L9" i="5"/>
  <c r="M66" i="5"/>
  <c r="P66" i="5" s="1"/>
  <c r="P68" i="5"/>
  <c r="I180" i="5"/>
  <c r="K180" i="5" s="1"/>
  <c r="K226" i="5"/>
  <c r="O15" i="5"/>
  <c r="O90" i="5"/>
  <c r="L88" i="5"/>
  <c r="L629" i="2"/>
  <c r="O629" i="2" s="1"/>
  <c r="P298" i="3"/>
  <c r="P167" i="4"/>
  <c r="M467" i="5"/>
  <c r="P467" i="5" s="1"/>
  <c r="L31" i="4"/>
  <c r="L30" i="4"/>
  <c r="L28" i="4" s="1"/>
  <c r="O469" i="5"/>
  <c r="L467" i="5"/>
  <c r="O467" i="5" s="1"/>
  <c r="P301" i="5"/>
  <c r="O301" i="5"/>
  <c r="P29" i="5"/>
  <c r="P279" i="2"/>
  <c r="M53" i="3"/>
  <c r="P53" i="3" s="1"/>
  <c r="N53" i="4"/>
  <c r="O53" i="4" s="1"/>
  <c r="P261" i="4"/>
  <c r="M315" i="4"/>
  <c r="P315" i="4" s="1"/>
  <c r="O419" i="5"/>
  <c r="O238" i="5"/>
  <c r="L227" i="5"/>
  <c r="P300" i="5"/>
  <c r="O300" i="5"/>
  <c r="P264" i="5"/>
  <c r="O264" i="5"/>
  <c r="P26" i="5"/>
  <c r="O26" i="5"/>
  <c r="P125" i="5"/>
  <c r="M470" i="2"/>
  <c r="P470" i="2" s="1"/>
  <c r="M469" i="2"/>
  <c r="N24" i="5"/>
  <c r="P9" i="5"/>
  <c r="K364" i="2"/>
  <c r="M446" i="3"/>
  <c r="M444" i="3" s="1"/>
  <c r="P444" i="3" s="1"/>
  <c r="O279" i="3"/>
  <c r="P301" i="3"/>
  <c r="P300" i="3"/>
  <c r="L30" i="3"/>
  <c r="L28" i="3" s="1"/>
  <c r="P263" i="4"/>
  <c r="L328" i="4"/>
  <c r="O328" i="4" s="1"/>
  <c r="L544" i="5"/>
  <c r="O544" i="5" s="1"/>
  <c r="O546" i="5"/>
  <c r="J417" i="5"/>
  <c r="K417" i="5" s="1"/>
  <c r="K433" i="5"/>
  <c r="M328" i="5"/>
  <c r="P328" i="5" s="1"/>
  <c r="P121" i="4"/>
  <c r="M119" i="4"/>
  <c r="P119" i="4" s="1"/>
  <c r="N88" i="5"/>
  <c r="P88" i="5" s="1"/>
  <c r="L389" i="3"/>
  <c r="O389" i="3" s="1"/>
  <c r="O261" i="4"/>
  <c r="P184" i="4"/>
  <c r="O167" i="4"/>
  <c r="L444" i="5"/>
  <c r="O444" i="5" s="1"/>
  <c r="O446" i="5"/>
  <c r="M345" i="5"/>
  <c r="P345" i="5" s="1"/>
  <c r="L165" i="5"/>
  <c r="O165" i="5" s="1"/>
  <c r="O134" i="5"/>
  <c r="I543" i="5"/>
  <c r="K543" i="5" s="1"/>
  <c r="K559" i="5"/>
  <c r="P43" i="5"/>
  <c r="M41" i="5"/>
  <c r="N41" i="5"/>
  <c r="O315" i="2"/>
  <c r="L24" i="4"/>
  <c r="P545" i="5"/>
  <c r="O19" i="5"/>
  <c r="P263" i="5"/>
  <c r="O263" i="5"/>
  <c r="M14" i="5"/>
  <c r="P14" i="5" s="1"/>
  <c r="P15" i="5"/>
  <c r="P23" i="5"/>
  <c r="M20" i="5"/>
  <c r="M21" i="5"/>
  <c r="N9" i="5"/>
  <c r="N11" i="5"/>
  <c r="O263" i="4"/>
  <c r="P634" i="2"/>
  <c r="L30" i="2"/>
  <c r="O30" i="2" s="1"/>
  <c r="O183" i="2"/>
  <c r="P53" i="2"/>
  <c r="K364" i="3"/>
  <c r="K77" i="3"/>
  <c r="P404" i="2"/>
  <c r="L315" i="4"/>
  <c r="O315" i="4" s="1"/>
  <c r="L389" i="4"/>
  <c r="O389" i="4" s="1"/>
  <c r="P23" i="4"/>
  <c r="P165" i="4"/>
  <c r="K417" i="3"/>
  <c r="K77" i="4"/>
  <c r="M469" i="4"/>
  <c r="M467" i="4" s="1"/>
  <c r="M470" i="4"/>
  <c r="P470" i="4" s="1"/>
  <c r="M632" i="2"/>
  <c r="P632" i="2" s="1"/>
  <c r="L88" i="2"/>
  <c r="O88" i="2" s="1"/>
  <c r="O33" i="2"/>
  <c r="P328" i="3"/>
  <c r="P181" i="3"/>
  <c r="P330" i="3"/>
  <c r="M132" i="4"/>
  <c r="P132" i="4" s="1"/>
  <c r="M389" i="4"/>
  <c r="P389" i="4" s="1"/>
  <c r="O26" i="4"/>
  <c r="O181" i="4"/>
  <c r="L165" i="4"/>
  <c r="O165" i="4" s="1"/>
  <c r="O657" i="4"/>
  <c r="L655" i="4"/>
  <c r="O655" i="4" s="1"/>
  <c r="O279" i="4"/>
  <c r="L277" i="4"/>
  <c r="O277" i="4" s="1"/>
  <c r="K434" i="3"/>
  <c r="L345" i="3"/>
  <c r="O345" i="3" s="1"/>
  <c r="P134" i="3"/>
  <c r="M402" i="4"/>
  <c r="P402" i="4" s="1"/>
  <c r="P151" i="4"/>
  <c r="M149" i="4"/>
  <c r="P149" i="4" s="1"/>
  <c r="P151" i="2"/>
  <c r="O328" i="2"/>
  <c r="N24" i="4"/>
  <c r="P44" i="2"/>
  <c r="I418" i="2"/>
  <c r="K418" i="2" s="1"/>
  <c r="K288" i="2"/>
  <c r="O330" i="3"/>
  <c r="O53" i="2"/>
  <c r="P330" i="4"/>
  <c r="M328" i="4"/>
  <c r="P328" i="4" s="1"/>
  <c r="O88" i="4"/>
  <c r="L444" i="4"/>
  <c r="O444" i="4" s="1"/>
  <c r="O446" i="4"/>
  <c r="P26" i="4"/>
  <c r="M20" i="4"/>
  <c r="M24" i="4"/>
  <c r="M16" i="4"/>
  <c r="O9" i="4"/>
  <c r="M546" i="2"/>
  <c r="M544" i="2" s="1"/>
  <c r="P544" i="2" s="1"/>
  <c r="O90" i="3"/>
  <c r="K433" i="3"/>
  <c r="P347" i="4"/>
  <c r="M345" i="4"/>
  <c r="P345" i="4" s="1"/>
  <c r="M446" i="4"/>
  <c r="P449" i="4"/>
  <c r="M447" i="4"/>
  <c r="P447" i="4" s="1"/>
  <c r="L66" i="4"/>
  <c r="O66" i="4" s="1"/>
  <c r="O68" i="4"/>
  <c r="P19" i="4"/>
  <c r="O19" i="4"/>
  <c r="N261" i="2"/>
  <c r="O261" i="2" s="1"/>
  <c r="M422" i="3"/>
  <c r="P422" i="3" s="1"/>
  <c r="M132" i="3"/>
  <c r="P132" i="3" s="1"/>
  <c r="M419" i="3"/>
  <c r="P419" i="3" s="1"/>
  <c r="O546" i="4"/>
  <c r="L544" i="4"/>
  <c r="O544" i="4" s="1"/>
  <c r="K434" i="4"/>
  <c r="I418" i="4"/>
  <c r="K418" i="4" s="1"/>
  <c r="N467" i="4"/>
  <c r="O470" i="4"/>
  <c r="P546" i="4"/>
  <c r="O419" i="4"/>
  <c r="L685" i="4"/>
  <c r="O685" i="4" s="1"/>
  <c r="P469" i="4"/>
  <c r="O15" i="4"/>
  <c r="P90" i="4"/>
  <c r="M88" i="4"/>
  <c r="P88" i="4" s="1"/>
  <c r="P549" i="2"/>
  <c r="L31" i="3"/>
  <c r="O31" i="3" s="1"/>
  <c r="K237" i="4"/>
  <c r="I226" i="4"/>
  <c r="P55" i="4"/>
  <c r="M53" i="4"/>
  <c r="N21" i="4"/>
  <c r="P21" i="4" s="1"/>
  <c r="N13" i="4"/>
  <c r="N10" i="4" s="1"/>
  <c r="N20" i="4"/>
  <c r="N18" i="4" s="1"/>
  <c r="N9" i="4"/>
  <c r="P43" i="4"/>
  <c r="N41" i="4"/>
  <c r="P12" i="4"/>
  <c r="M9" i="4"/>
  <c r="O23" i="4"/>
  <c r="L20" i="4"/>
  <c r="L13" i="4"/>
  <c r="O347" i="2"/>
  <c r="M41" i="3"/>
  <c r="P41" i="3" s="1"/>
  <c r="O404" i="4"/>
  <c r="L402" i="4"/>
  <c r="O402" i="4" s="1"/>
  <c r="O33" i="4"/>
  <c r="N30" i="4"/>
  <c r="N31" i="4"/>
  <c r="L227" i="4"/>
  <c r="P345" i="2"/>
  <c r="O68" i="2"/>
  <c r="I131" i="4"/>
  <c r="K131" i="4" s="1"/>
  <c r="K143" i="4"/>
  <c r="I417" i="4"/>
  <c r="K417" i="4" s="1"/>
  <c r="K433" i="4"/>
  <c r="M421" i="4"/>
  <c r="P424" i="4"/>
  <c r="M422" i="4"/>
  <c r="P422" i="4" s="1"/>
  <c r="M33" i="4"/>
  <c r="O134" i="4"/>
  <c r="L132" i="4"/>
  <c r="O132" i="4" s="1"/>
  <c r="O36" i="3"/>
  <c r="L34" i="3"/>
  <c r="O34" i="3" s="1"/>
  <c r="O348" i="2"/>
  <c r="N24" i="3"/>
  <c r="P277" i="2"/>
  <c r="L402" i="3"/>
  <c r="O402" i="3" s="1"/>
  <c r="O525" i="3"/>
  <c r="L523" i="3"/>
  <c r="O523" i="3" s="1"/>
  <c r="O55" i="2"/>
  <c r="M402" i="2"/>
  <c r="P402" i="2" s="1"/>
  <c r="P184" i="2"/>
  <c r="M261" i="3"/>
  <c r="P261" i="3" s="1"/>
  <c r="O788" i="3"/>
  <c r="L786" i="3"/>
  <c r="O786" i="3" s="1"/>
  <c r="O135" i="3"/>
  <c r="O657" i="2"/>
  <c r="L655" i="2"/>
  <c r="O655" i="2" s="1"/>
  <c r="O395" i="2"/>
  <c r="L298" i="2"/>
  <c r="O298" i="2" s="1"/>
  <c r="P424" i="3"/>
  <c r="L315" i="3"/>
  <c r="O315" i="3" s="1"/>
  <c r="O317" i="3"/>
  <c r="M470" i="3"/>
  <c r="P470" i="3" s="1"/>
  <c r="P472" i="3"/>
  <c r="M469" i="3"/>
  <c r="M467" i="3" s="1"/>
  <c r="O657" i="3"/>
  <c r="L655" i="3"/>
  <c r="O655" i="3" s="1"/>
  <c r="P138" i="3"/>
  <c r="P525" i="3"/>
  <c r="M523" i="3"/>
  <c r="P523" i="3" s="1"/>
  <c r="O121" i="3"/>
  <c r="L119" i="3"/>
  <c r="O119" i="3" s="1"/>
  <c r="M345" i="3"/>
  <c r="P345" i="3" s="1"/>
  <c r="P330" i="2"/>
  <c r="M33" i="2"/>
  <c r="M30" i="2" s="1"/>
  <c r="P30" i="2" s="1"/>
  <c r="M315" i="3"/>
  <c r="P315" i="3" s="1"/>
  <c r="P317" i="3"/>
  <c r="K76" i="3"/>
  <c r="I64" i="3"/>
  <c r="K64" i="3" s="1"/>
  <c r="P347" i="2"/>
  <c r="P549" i="3"/>
  <c r="M546" i="3"/>
  <c r="M33" i="3"/>
  <c r="M13" i="3" s="1"/>
  <c r="M547" i="3"/>
  <c r="P547" i="3" s="1"/>
  <c r="O469" i="3"/>
  <c r="N467" i="3"/>
  <c r="P279" i="3"/>
  <c r="M277" i="3"/>
  <c r="P277" i="3" s="1"/>
  <c r="P9" i="3"/>
  <c r="P26" i="3"/>
  <c r="M16" i="3"/>
  <c r="M24" i="3"/>
  <c r="L227" i="3"/>
  <c r="O526" i="2"/>
  <c r="L66" i="2"/>
  <c r="O66" i="2" s="1"/>
  <c r="O300" i="3"/>
  <c r="L298" i="3"/>
  <c r="O298" i="3" s="1"/>
  <c r="M132" i="2"/>
  <c r="P132" i="2" s="1"/>
  <c r="L53" i="3"/>
  <c r="O53" i="3" s="1"/>
  <c r="P183" i="3"/>
  <c r="O183" i="3"/>
  <c r="L181" i="3"/>
  <c r="O181" i="3" s="1"/>
  <c r="N21" i="3"/>
  <c r="N20" i="3"/>
  <c r="N18" i="3" s="1"/>
  <c r="N13" i="3"/>
  <c r="N10" i="3" s="1"/>
  <c r="L786" i="2"/>
  <c r="O786" i="2" s="1"/>
  <c r="M523" i="2"/>
  <c r="P523" i="2" s="1"/>
  <c r="O317" i="2"/>
  <c r="P68" i="2"/>
  <c r="O9" i="3"/>
  <c r="P68" i="3"/>
  <c r="M66" i="3"/>
  <c r="P66" i="3" s="1"/>
  <c r="I226" i="3"/>
  <c r="K237" i="3"/>
  <c r="L24" i="3"/>
  <c r="O26" i="3"/>
  <c r="L16" i="3"/>
  <c r="O547" i="2"/>
  <c r="L467" i="2"/>
  <c r="O467" i="2" s="1"/>
  <c r="P167" i="3"/>
  <c r="M165" i="3"/>
  <c r="P165" i="3" s="1"/>
  <c r="O446" i="2"/>
  <c r="L444" i="2"/>
  <c r="O444" i="2" s="1"/>
  <c r="O167" i="3"/>
  <c r="L165" i="3"/>
  <c r="O165" i="3" s="1"/>
  <c r="P90" i="3"/>
  <c r="M88" i="3"/>
  <c r="P88" i="3" s="1"/>
  <c r="N9" i="3"/>
  <c r="M422" i="2"/>
  <c r="P422" i="2" s="1"/>
  <c r="M421" i="2"/>
  <c r="L20" i="3"/>
  <c r="L13" i="3"/>
  <c r="O23" i="3"/>
  <c r="L21" i="3"/>
  <c r="K131" i="3"/>
  <c r="O29" i="3"/>
  <c r="P23" i="3"/>
  <c r="M21" i="3"/>
  <c r="M20" i="3"/>
  <c r="J522" i="3"/>
  <c r="K522" i="3" s="1"/>
  <c r="K537" i="3"/>
  <c r="O263" i="3"/>
  <c r="N261" i="3"/>
  <c r="O261" i="3" s="1"/>
  <c r="N149" i="3"/>
  <c r="P149" i="3" s="1"/>
  <c r="O151" i="3"/>
  <c r="K143" i="3"/>
  <c r="O33" i="3"/>
  <c r="L66" i="3"/>
  <c r="O66" i="3" s="1"/>
  <c r="O68" i="3"/>
  <c r="K288" i="3"/>
  <c r="N28" i="3"/>
  <c r="O279" i="2"/>
  <c r="O134" i="3"/>
  <c r="L132" i="3"/>
  <c r="O132" i="3" s="1"/>
  <c r="O43" i="3"/>
  <c r="L41" i="3"/>
  <c r="P389" i="2"/>
  <c r="K559" i="2"/>
  <c r="I543" i="2"/>
  <c r="K543" i="2" s="1"/>
  <c r="L181" i="2"/>
  <c r="O181" i="2" s="1"/>
  <c r="I65" i="2"/>
  <c r="K65" i="2" s="1"/>
  <c r="P43" i="2"/>
  <c r="L389" i="2"/>
  <c r="O389" i="2" s="1"/>
  <c r="O391" i="2"/>
  <c r="P55" i="2"/>
  <c r="O277" i="2"/>
  <c r="L165" i="2"/>
  <c r="O165" i="2" s="1"/>
  <c r="I180" i="2"/>
  <c r="K180" i="2" s="1"/>
  <c r="L402" i="2"/>
  <c r="O402" i="2" s="1"/>
  <c r="P391" i="2"/>
  <c r="O345" i="2"/>
  <c r="P91" i="2"/>
  <c r="K522" i="2"/>
  <c r="K374" i="2"/>
  <c r="P300" i="2"/>
  <c r="M298" i="2"/>
  <c r="P298" i="2" s="1"/>
  <c r="P328" i="2"/>
  <c r="M119" i="2"/>
  <c r="P119" i="2" s="1"/>
  <c r="O43" i="2"/>
  <c r="O525" i="2"/>
  <c r="O134" i="2"/>
  <c r="L132" i="2"/>
  <c r="O132" i="2" s="1"/>
  <c r="P29" i="2"/>
  <c r="M24" i="2"/>
  <c r="M16" i="2"/>
  <c r="M14" i="2" s="1"/>
  <c r="P26" i="2"/>
  <c r="O15" i="2"/>
  <c r="P547" i="2"/>
  <c r="P280" i="2"/>
  <c r="O351" i="2"/>
  <c r="O23" i="2"/>
  <c r="L20" i="2"/>
  <c r="L13" i="2"/>
  <c r="L21" i="2"/>
  <c r="P317" i="2"/>
  <c r="M315" i="2"/>
  <c r="P315" i="2" s="1"/>
  <c r="P90" i="2"/>
  <c r="M88" i="2"/>
  <c r="P88" i="2" s="1"/>
  <c r="O238" i="2"/>
  <c r="L227" i="2"/>
  <c r="O29" i="2"/>
  <c r="O41" i="2"/>
  <c r="J417" i="2"/>
  <c r="K417" i="2" s="1"/>
  <c r="K433" i="2"/>
  <c r="O422" i="2"/>
  <c r="I64" i="2"/>
  <c r="K64" i="2" s="1"/>
  <c r="K76" i="2"/>
  <c r="P41" i="2"/>
  <c r="N24" i="2"/>
  <c r="O24" i="2" s="1"/>
  <c r="N16" i="2"/>
  <c r="N14" i="2" s="1"/>
  <c r="N20" i="2"/>
  <c r="N18" i="2" s="1"/>
  <c r="N13" i="2"/>
  <c r="N11" i="2" s="1"/>
  <c r="L685" i="2"/>
  <c r="P183" i="2"/>
  <c r="M181" i="2"/>
  <c r="P181" i="2" s="1"/>
  <c r="O26" i="2"/>
  <c r="L16" i="2"/>
  <c r="L14" i="2" s="1"/>
  <c r="P12" i="2"/>
  <c r="M9" i="2"/>
  <c r="P15" i="2"/>
  <c r="P23" i="2"/>
  <c r="M20" i="2"/>
  <c r="L9" i="2"/>
  <c r="O331" i="2"/>
  <c r="P526" i="2"/>
  <c r="N9" i="2"/>
  <c r="N149" i="2"/>
  <c r="P149" i="2" s="1"/>
  <c r="P19" i="2"/>
  <c r="P167" i="2"/>
  <c r="M165" i="2"/>
  <c r="P165" i="2" s="1"/>
  <c r="N21" i="2"/>
  <c r="P21" i="2" s="1"/>
  <c r="J593" i="1"/>
  <c r="K593" i="1" s="1"/>
  <c r="O330" i="1"/>
  <c r="N631" i="1"/>
  <c r="O631" i="1" s="1"/>
  <c r="K654" i="1"/>
  <c r="O347" i="1"/>
  <c r="O300" i="1"/>
  <c r="K364" i="1"/>
  <c r="O690" i="1"/>
  <c r="K233" i="1"/>
  <c r="N447" i="1"/>
  <c r="O447" i="1" s="1"/>
  <c r="O658" i="1"/>
  <c r="O634" i="1"/>
  <c r="O55" i="1"/>
  <c r="P424" i="1"/>
  <c r="N632" i="1"/>
  <c r="P632" i="1" s="1"/>
  <c r="P167" i="1"/>
  <c r="P449" i="1"/>
  <c r="P125" i="1"/>
  <c r="O167" i="1"/>
  <c r="K236" i="1"/>
  <c r="O449" i="1"/>
  <c r="O261" i="1"/>
  <c r="M20" i="1"/>
  <c r="M18" i="1" s="1"/>
  <c r="P181" i="1"/>
  <c r="I226" i="1"/>
  <c r="I180" i="1" s="1"/>
  <c r="N789" i="1"/>
  <c r="N422" i="1"/>
  <c r="O422" i="1" s="1"/>
  <c r="O263" i="1"/>
  <c r="P151" i="1"/>
  <c r="N421" i="1"/>
  <c r="O421" i="1" s="1"/>
  <c r="O264" i="1"/>
  <c r="N657" i="1"/>
  <c r="N655" i="1" s="1"/>
  <c r="P655" i="1" s="1"/>
  <c r="P44" i="1"/>
  <c r="P348" i="1"/>
  <c r="M149" i="1"/>
  <c r="P149" i="1" s="1"/>
  <c r="P43" i="1"/>
  <c r="J594" i="1"/>
  <c r="K594" i="1" s="1"/>
  <c r="K675" i="1"/>
  <c r="P690" i="1"/>
  <c r="N688" i="1"/>
  <c r="P688" i="1" s="1"/>
  <c r="O444" i="1"/>
  <c r="P391" i="1"/>
  <c r="O446" i="1"/>
  <c r="M165" i="1"/>
  <c r="P165" i="1" s="1"/>
  <c r="K669" i="1"/>
  <c r="P446" i="1"/>
  <c r="O184" i="1"/>
  <c r="O149" i="1"/>
  <c r="O90" i="1"/>
  <c r="I164" i="1"/>
  <c r="K164" i="1" s="1"/>
  <c r="K112" i="1"/>
  <c r="P660" i="1"/>
  <c r="O279" i="1"/>
  <c r="P121" i="1"/>
  <c r="L165" i="1"/>
  <c r="O165" i="1" s="1"/>
  <c r="P658" i="1"/>
  <c r="O134" i="1"/>
  <c r="P90" i="1"/>
  <c r="O660" i="1"/>
  <c r="N526" i="1"/>
  <c r="O526" i="1" s="1"/>
  <c r="N88" i="1"/>
  <c r="O88" i="1" s="1"/>
  <c r="O125" i="1"/>
  <c r="O209" i="1"/>
  <c r="O217" i="1"/>
  <c r="N525" i="1"/>
  <c r="O525" i="1" s="1"/>
  <c r="N328" i="1"/>
  <c r="O328" i="1" s="1"/>
  <c r="O181" i="1"/>
  <c r="O198" i="1"/>
  <c r="P315" i="1"/>
  <c r="P183" i="1"/>
  <c r="O183" i="1"/>
  <c r="O151" i="1"/>
  <c r="N546" i="1"/>
  <c r="N547" i="1"/>
  <c r="O547" i="1" s="1"/>
  <c r="L227" i="1"/>
  <c r="N227" i="1"/>
  <c r="P55" i="1"/>
  <c r="P68" i="1"/>
  <c r="O391" i="1"/>
  <c r="N389" i="1"/>
  <c r="P389" i="1" s="1"/>
  <c r="K434" i="1"/>
  <c r="P66" i="1"/>
  <c r="N345" i="1"/>
  <c r="O345" i="1" s="1"/>
  <c r="P549" i="1"/>
  <c r="O44" i="1"/>
  <c r="P528" i="1"/>
  <c r="O277" i="1"/>
  <c r="O549" i="1"/>
  <c r="N53" i="1"/>
  <c r="O53" i="1" s="1"/>
  <c r="I417" i="1"/>
  <c r="K417" i="1" s="1"/>
  <c r="K433" i="1"/>
  <c r="K418" i="1"/>
  <c r="P317" i="1"/>
  <c r="P444" i="1"/>
  <c r="N119" i="1"/>
  <c r="P119" i="1" s="1"/>
  <c r="J559" i="1"/>
  <c r="K576" i="1"/>
  <c r="L629" i="1"/>
  <c r="P687" i="1"/>
  <c r="K77" i="1"/>
  <c r="I65" i="1"/>
  <c r="K65" i="1" s="1"/>
  <c r="M30" i="1"/>
  <c r="M13" i="1"/>
  <c r="M544" i="1"/>
  <c r="M414" i="1" s="1"/>
  <c r="O238" i="1"/>
  <c r="L298" i="1"/>
  <c r="O298" i="1" s="1"/>
  <c r="M24" i="1"/>
  <c r="N132" i="1"/>
  <c r="O23" i="1"/>
  <c r="L20" i="1"/>
  <c r="L18" i="1" s="1"/>
  <c r="L13" i="1"/>
  <c r="L11" i="1" s="1"/>
  <c r="O121" i="1"/>
  <c r="L119" i="1"/>
  <c r="O12" i="1"/>
  <c r="L9" i="1"/>
  <c r="O685" i="1"/>
  <c r="P351" i="1"/>
  <c r="J226" i="1"/>
  <c r="K237" i="1"/>
  <c r="P263" i="1"/>
  <c r="M261" i="1"/>
  <c r="P261" i="1" s="1"/>
  <c r="P59" i="1"/>
  <c r="O59" i="1"/>
  <c r="K76" i="1"/>
  <c r="I64" i="1"/>
  <c r="K64" i="1" s="1"/>
  <c r="O15" i="1"/>
  <c r="P41" i="1"/>
  <c r="O19" i="1"/>
  <c r="N469" i="1"/>
  <c r="N470" i="1"/>
  <c r="P470" i="1" s="1"/>
  <c r="P472" i="1"/>
  <c r="O687" i="1"/>
  <c r="P330" i="1"/>
  <c r="M328" i="1"/>
  <c r="N33" i="1"/>
  <c r="O33" i="1" s="1"/>
  <c r="O68" i="1"/>
  <c r="L66" i="1"/>
  <c r="O66" i="1" s="1"/>
  <c r="N20" i="1"/>
  <c r="N18" i="1" s="1"/>
  <c r="N21" i="1"/>
  <c r="O21" i="1" s="1"/>
  <c r="P23" i="1"/>
  <c r="P300" i="1"/>
  <c r="M298" i="1"/>
  <c r="P298" i="1" s="1"/>
  <c r="O26" i="1"/>
  <c r="L16" i="1"/>
  <c r="P26" i="1"/>
  <c r="M16" i="1"/>
  <c r="P279" i="1"/>
  <c r="M277" i="1"/>
  <c r="P277" i="1" s="1"/>
  <c r="L30" i="1"/>
  <c r="L31" i="1"/>
  <c r="L24" i="1"/>
  <c r="P404" i="1"/>
  <c r="O404" i="1"/>
  <c r="N402" i="1"/>
  <c r="P685" i="1"/>
  <c r="O472" i="1"/>
  <c r="O317" i="1"/>
  <c r="L315" i="1"/>
  <c r="O315" i="1" s="1"/>
  <c r="O788" i="1"/>
  <c r="L786" i="1"/>
  <c r="O786" i="1" s="1"/>
  <c r="P19" i="1"/>
  <c r="N24" i="1"/>
  <c r="N16" i="1"/>
  <c r="N14" i="1" s="1"/>
  <c r="P138" i="1"/>
  <c r="O138" i="1"/>
  <c r="O29" i="1"/>
  <c r="P347" i="1"/>
  <c r="O43" i="1"/>
  <c r="L41" i="1"/>
  <c r="P9" i="1"/>
  <c r="L34" i="1"/>
  <c r="O34" i="1" s="1"/>
  <c r="P56" i="1"/>
  <c r="O56" i="1"/>
  <c r="P134" i="1"/>
  <c r="O13" i="15" l="1"/>
  <c r="L10" i="15"/>
  <c r="L11" i="15"/>
  <c r="M37" i="15"/>
  <c r="P41" i="15"/>
  <c r="K226" i="15"/>
  <c r="I180" i="15"/>
  <c r="K180" i="15" s="1"/>
  <c r="N37" i="15"/>
  <c r="O20" i="15"/>
  <c r="L18" i="15"/>
  <c r="O18" i="15" s="1"/>
  <c r="O41" i="15"/>
  <c r="L37" i="15"/>
  <c r="N8" i="15"/>
  <c r="P13" i="15"/>
  <c r="M10" i="15"/>
  <c r="P10" i="15" s="1"/>
  <c r="L414" i="15"/>
  <c r="O414" i="15" s="1"/>
  <c r="O419" i="15"/>
  <c r="O20" i="13"/>
  <c r="N414" i="15"/>
  <c r="P414" i="15" s="1"/>
  <c r="P419" i="15"/>
  <c r="P9" i="15"/>
  <c r="M8" i="15"/>
  <c r="P8" i="15" s="1"/>
  <c r="N11" i="15"/>
  <c r="P11" i="15" s="1"/>
  <c r="P20" i="15"/>
  <c r="O328" i="15"/>
  <c r="P328" i="15"/>
  <c r="O21" i="15"/>
  <c r="O13" i="11"/>
  <c r="M37" i="14"/>
  <c r="O21" i="14"/>
  <c r="P21" i="13"/>
  <c r="O53" i="10"/>
  <c r="O20" i="14"/>
  <c r="M30" i="14"/>
  <c r="M31" i="14"/>
  <c r="P31" i="14" s="1"/>
  <c r="P33" i="14"/>
  <c r="P421" i="14"/>
  <c r="M419" i="14"/>
  <c r="P419" i="14" s="1"/>
  <c r="O88" i="11"/>
  <c r="L28" i="14"/>
  <c r="O28" i="14" s="1"/>
  <c r="M13" i="14"/>
  <c r="O53" i="14"/>
  <c r="L37" i="14"/>
  <c r="M544" i="13"/>
  <c r="P544" i="13" s="1"/>
  <c r="P20" i="14"/>
  <c r="N18" i="14"/>
  <c r="P18" i="14" s="1"/>
  <c r="M414" i="14"/>
  <c r="P414" i="14" s="1"/>
  <c r="N11" i="14"/>
  <c r="L18" i="14"/>
  <c r="O13" i="14"/>
  <c r="L10" i="14"/>
  <c r="L11" i="14"/>
  <c r="O11" i="14" s="1"/>
  <c r="P13" i="14"/>
  <c r="O419" i="14"/>
  <c r="L414" i="14"/>
  <c r="O414" i="14" s="1"/>
  <c r="L10" i="11"/>
  <c r="N8" i="14"/>
  <c r="N18" i="13"/>
  <c r="O18" i="13" s="1"/>
  <c r="K226" i="14"/>
  <c r="I180" i="14"/>
  <c r="K180" i="14" s="1"/>
  <c r="N37" i="14"/>
  <c r="O41" i="14"/>
  <c r="P41" i="14"/>
  <c r="P16" i="8"/>
  <c r="M14" i="13"/>
  <c r="P14" i="13" s="1"/>
  <c r="M419" i="11"/>
  <c r="P419" i="11" s="1"/>
  <c r="P16" i="12"/>
  <c r="O30" i="10"/>
  <c r="L414" i="12"/>
  <c r="O414" i="12" s="1"/>
  <c r="O88" i="12"/>
  <c r="L414" i="13"/>
  <c r="O414" i="13" s="1"/>
  <c r="O16" i="13"/>
  <c r="L14" i="13"/>
  <c r="O14" i="13" s="1"/>
  <c r="P546" i="12"/>
  <c r="M544" i="12"/>
  <c r="P544" i="12" s="1"/>
  <c r="P181" i="7"/>
  <c r="O88" i="13"/>
  <c r="P88" i="13"/>
  <c r="N37" i="13"/>
  <c r="P446" i="13"/>
  <c r="M444" i="13"/>
  <c r="O13" i="13"/>
  <c r="L10" i="13"/>
  <c r="O10" i="13" s="1"/>
  <c r="O9" i="13"/>
  <c r="P33" i="13"/>
  <c r="M30" i="13"/>
  <c r="M31" i="13"/>
  <c r="P31" i="13" s="1"/>
  <c r="K226" i="13"/>
  <c r="I180" i="13"/>
  <c r="K180" i="13" s="1"/>
  <c r="P41" i="13"/>
  <c r="M37" i="13"/>
  <c r="P37" i="13" s="1"/>
  <c r="M13" i="13"/>
  <c r="P33" i="11"/>
  <c r="P525" i="13"/>
  <c r="M523" i="13"/>
  <c r="P523" i="13" s="1"/>
  <c r="N11" i="13"/>
  <c r="O11" i="13" s="1"/>
  <c r="P657" i="13"/>
  <c r="M655" i="13"/>
  <c r="P655" i="13" s="1"/>
  <c r="P20" i="13"/>
  <c r="M18" i="13"/>
  <c r="L28" i="12"/>
  <c r="O28" i="12" s="1"/>
  <c r="P345" i="12"/>
  <c r="N11" i="12"/>
  <c r="P11" i="12" s="1"/>
  <c r="N8" i="13"/>
  <c r="O53" i="13"/>
  <c r="L37" i="13"/>
  <c r="O30" i="13"/>
  <c r="L28" i="13"/>
  <c r="O28" i="13" s="1"/>
  <c r="L14" i="12"/>
  <c r="O14" i="12" s="1"/>
  <c r="P421" i="12"/>
  <c r="M419" i="12"/>
  <c r="P419" i="12" s="1"/>
  <c r="P165" i="10"/>
  <c r="O328" i="12"/>
  <c r="L18" i="12"/>
  <c r="O18" i="12" s="1"/>
  <c r="O9" i="12"/>
  <c r="P13" i="12"/>
  <c r="M10" i="12"/>
  <c r="P10" i="12" s="1"/>
  <c r="M31" i="11"/>
  <c r="P31" i="11" s="1"/>
  <c r="P33" i="12"/>
  <c r="M30" i="12"/>
  <c r="M31" i="12"/>
  <c r="P31" i="12" s="1"/>
  <c r="N8" i="12"/>
  <c r="M8" i="12"/>
  <c r="P9" i="12"/>
  <c r="P20" i="12"/>
  <c r="P18" i="10"/>
  <c r="O21" i="11"/>
  <c r="P165" i="12"/>
  <c r="O165" i="12"/>
  <c r="M37" i="12"/>
  <c r="L37" i="12"/>
  <c r="N37" i="12"/>
  <c r="K226" i="12"/>
  <c r="I180" i="12"/>
  <c r="K180" i="12" s="1"/>
  <c r="P18" i="12"/>
  <c r="P21" i="12"/>
  <c r="P446" i="12"/>
  <c r="M444" i="12"/>
  <c r="O181" i="12"/>
  <c r="P181" i="12"/>
  <c r="O13" i="12"/>
  <c r="L10" i="12"/>
  <c r="O10" i="12" s="1"/>
  <c r="L11" i="12"/>
  <c r="O20" i="10"/>
  <c r="L37" i="10"/>
  <c r="P21" i="9"/>
  <c r="O165" i="11"/>
  <c r="M37" i="11"/>
  <c r="O16" i="11"/>
  <c r="L14" i="11"/>
  <c r="O14" i="11" s="1"/>
  <c r="P631" i="11"/>
  <c r="M629" i="11"/>
  <c r="P629" i="11" s="1"/>
  <c r="L37" i="11"/>
  <c r="O20" i="11"/>
  <c r="O21" i="10"/>
  <c r="N37" i="11"/>
  <c r="O30" i="11"/>
  <c r="L28" i="11"/>
  <c r="O28" i="11" s="1"/>
  <c r="P13" i="11"/>
  <c r="M10" i="11"/>
  <c r="O181" i="11"/>
  <c r="P20" i="11"/>
  <c r="L414" i="11"/>
  <c r="O414" i="11" s="1"/>
  <c r="O9" i="11"/>
  <c r="L8" i="11"/>
  <c r="P30" i="11"/>
  <c r="M28" i="11"/>
  <c r="P28" i="11" s="1"/>
  <c r="P16" i="11"/>
  <c r="M14" i="11"/>
  <c r="P14" i="11" s="1"/>
  <c r="K226" i="11"/>
  <c r="I180" i="11"/>
  <c r="K180" i="11" s="1"/>
  <c r="P9" i="11"/>
  <c r="P18" i="11"/>
  <c r="M37" i="10"/>
  <c r="O18" i="11"/>
  <c r="N10" i="11"/>
  <c r="N8" i="11" s="1"/>
  <c r="N11" i="11"/>
  <c r="P11" i="11" s="1"/>
  <c r="O21" i="8"/>
  <c r="N10" i="8"/>
  <c r="N8" i="8" s="1"/>
  <c r="L414" i="9"/>
  <c r="O414" i="9" s="1"/>
  <c r="M31" i="10"/>
  <c r="P31" i="10" s="1"/>
  <c r="M13" i="10"/>
  <c r="M10" i="10" s="1"/>
  <c r="M30" i="10"/>
  <c r="O13" i="7"/>
  <c r="P24" i="10"/>
  <c r="K226" i="10"/>
  <c r="I180" i="10"/>
  <c r="K180" i="10" s="1"/>
  <c r="P446" i="10"/>
  <c r="M444" i="10"/>
  <c r="P444" i="10" s="1"/>
  <c r="N37" i="10"/>
  <c r="L414" i="10"/>
  <c r="O414" i="10" s="1"/>
  <c r="O16" i="10"/>
  <c r="L14" i="10"/>
  <c r="O14" i="10" s="1"/>
  <c r="O9" i="10"/>
  <c r="P16" i="10"/>
  <c r="M14" i="10"/>
  <c r="P14" i="10" s="1"/>
  <c r="O24" i="6"/>
  <c r="O13" i="10"/>
  <c r="L10" i="10"/>
  <c r="N10" i="10"/>
  <c r="N8" i="10" s="1"/>
  <c r="N11" i="10"/>
  <c r="O11" i="10" s="1"/>
  <c r="P24" i="6"/>
  <c r="P24" i="9"/>
  <c r="P419" i="10"/>
  <c r="P9" i="10"/>
  <c r="O31" i="10"/>
  <c r="L18" i="10"/>
  <c r="O18" i="10" s="1"/>
  <c r="P20" i="10"/>
  <c r="L14" i="5"/>
  <c r="O14" i="5" s="1"/>
  <c r="M544" i="8"/>
  <c r="P544" i="8" s="1"/>
  <c r="P11" i="8"/>
  <c r="O88" i="8"/>
  <c r="O21" i="9"/>
  <c r="L10" i="5"/>
  <c r="L8" i="5" s="1"/>
  <c r="M37" i="9"/>
  <c r="O16" i="9"/>
  <c r="L28" i="7"/>
  <c r="O28" i="7" s="1"/>
  <c r="N37" i="9"/>
  <c r="P298" i="9"/>
  <c r="O13" i="9"/>
  <c r="L10" i="9"/>
  <c r="L11" i="9"/>
  <c r="P33" i="9"/>
  <c r="M30" i="9"/>
  <c r="M13" i="9"/>
  <c r="M31" i="9"/>
  <c r="P31" i="9" s="1"/>
  <c r="O20" i="9"/>
  <c r="L18" i="9"/>
  <c r="K226" i="9"/>
  <c r="I180" i="9"/>
  <c r="K180" i="9" s="1"/>
  <c r="O53" i="8"/>
  <c r="L28" i="9"/>
  <c r="O28" i="9" s="1"/>
  <c r="P419" i="9"/>
  <c r="M655" i="9"/>
  <c r="P655" i="9" s="1"/>
  <c r="P657" i="9"/>
  <c r="M544" i="9"/>
  <c r="P544" i="9" s="1"/>
  <c r="O53" i="6"/>
  <c r="O20" i="8"/>
  <c r="L37" i="9"/>
  <c r="N18" i="9"/>
  <c r="P18" i="9" s="1"/>
  <c r="P20" i="9"/>
  <c r="L18" i="6"/>
  <c r="O18" i="6" s="1"/>
  <c r="P20" i="8"/>
  <c r="N10" i="9"/>
  <c r="N8" i="9" s="1"/>
  <c r="N11" i="9"/>
  <c r="L11" i="5"/>
  <c r="O11" i="5" s="1"/>
  <c r="L10" i="7"/>
  <c r="L8" i="7" s="1"/>
  <c r="P24" i="8"/>
  <c r="P345" i="7"/>
  <c r="M18" i="8"/>
  <c r="P18" i="8" s="1"/>
  <c r="L414" i="7"/>
  <c r="M14" i="8"/>
  <c r="P14" i="8" s="1"/>
  <c r="L37" i="8"/>
  <c r="O16" i="8"/>
  <c r="L14" i="8"/>
  <c r="O14" i="8" s="1"/>
  <c r="O13" i="8"/>
  <c r="L10" i="8"/>
  <c r="O10" i="8" s="1"/>
  <c r="P24" i="5"/>
  <c r="P53" i="6"/>
  <c r="L14" i="7"/>
  <c r="O24" i="7"/>
  <c r="L18" i="8"/>
  <c r="O18" i="8" s="1"/>
  <c r="O30" i="8"/>
  <c r="L28" i="8"/>
  <c r="O28" i="8" s="1"/>
  <c r="P13" i="8"/>
  <c r="M10" i="8"/>
  <c r="P345" i="8"/>
  <c r="O345" i="8"/>
  <c r="M444" i="8"/>
  <c r="P444" i="8" s="1"/>
  <c r="P446" i="8"/>
  <c r="O9" i="8"/>
  <c r="P21" i="5"/>
  <c r="P16" i="7"/>
  <c r="P277" i="8"/>
  <c r="M37" i="8"/>
  <c r="P33" i="8"/>
  <c r="M30" i="8"/>
  <c r="M31" i="8"/>
  <c r="P31" i="8" s="1"/>
  <c r="P9" i="8"/>
  <c r="O21" i="5"/>
  <c r="I180" i="8"/>
  <c r="K180" i="8" s="1"/>
  <c r="K226" i="8"/>
  <c r="P421" i="8"/>
  <c r="M419" i="8"/>
  <c r="L414" i="8"/>
  <c r="O414" i="8" s="1"/>
  <c r="O419" i="8"/>
  <c r="L11" i="8"/>
  <c r="O11" i="8" s="1"/>
  <c r="N37" i="8"/>
  <c r="P88" i="7"/>
  <c r="P20" i="7"/>
  <c r="O31" i="4"/>
  <c r="P24" i="7"/>
  <c r="O328" i="7"/>
  <c r="O165" i="7"/>
  <c r="P9" i="7"/>
  <c r="O9" i="7"/>
  <c r="O467" i="7"/>
  <c r="O20" i="7"/>
  <c r="N18" i="7"/>
  <c r="O18" i="7" s="1"/>
  <c r="P33" i="7"/>
  <c r="M30" i="7"/>
  <c r="M31" i="7"/>
  <c r="P31" i="7" s="1"/>
  <c r="N14" i="7"/>
  <c r="O16" i="7"/>
  <c r="K226" i="7"/>
  <c r="I180" i="7"/>
  <c r="K180" i="7" s="1"/>
  <c r="O53" i="7"/>
  <c r="L37" i="7"/>
  <c r="P446" i="7"/>
  <c r="M444" i="7"/>
  <c r="M18" i="7"/>
  <c r="P18" i="7" s="1"/>
  <c r="N414" i="7"/>
  <c r="N10" i="7"/>
  <c r="N8" i="7" s="1"/>
  <c r="M14" i="7"/>
  <c r="N37" i="7"/>
  <c r="O41" i="7"/>
  <c r="P41" i="7"/>
  <c r="M37" i="7"/>
  <c r="P13" i="7"/>
  <c r="M10" i="7"/>
  <c r="M11" i="7"/>
  <c r="P11" i="7" s="1"/>
  <c r="L14" i="4"/>
  <c r="O14" i="4" s="1"/>
  <c r="M18" i="6"/>
  <c r="P18" i="6" s="1"/>
  <c r="P165" i="6"/>
  <c r="N37" i="6"/>
  <c r="M10" i="6"/>
  <c r="M11" i="6"/>
  <c r="N544" i="6"/>
  <c r="O544" i="6" s="1"/>
  <c r="O546" i="6"/>
  <c r="P421" i="6"/>
  <c r="M419" i="6"/>
  <c r="P345" i="6"/>
  <c r="L28" i="2"/>
  <c r="O28" i="2" s="1"/>
  <c r="M544" i="5"/>
  <c r="P544" i="5" s="1"/>
  <c r="L414" i="6"/>
  <c r="P469" i="6"/>
  <c r="P470" i="6"/>
  <c r="L14" i="6"/>
  <c r="O14" i="6" s="1"/>
  <c r="P544" i="6"/>
  <c r="L10" i="6"/>
  <c r="L8" i="6" s="1"/>
  <c r="L11" i="6"/>
  <c r="P446" i="3"/>
  <c r="P546" i="2"/>
  <c r="O20" i="4"/>
  <c r="L37" i="6"/>
  <c r="M37" i="6"/>
  <c r="O9" i="6"/>
  <c r="K226" i="6"/>
  <c r="I180" i="6"/>
  <c r="K180" i="6" s="1"/>
  <c r="N8" i="5"/>
  <c r="M30" i="5"/>
  <c r="P30" i="5" s="1"/>
  <c r="O20" i="5"/>
  <c r="O33" i="6"/>
  <c r="N30" i="6"/>
  <c r="N31" i="6"/>
  <c r="O31" i="6" s="1"/>
  <c r="N13" i="6"/>
  <c r="P687" i="6"/>
  <c r="M685" i="6"/>
  <c r="P685" i="6" s="1"/>
  <c r="P631" i="6"/>
  <c r="M629" i="6"/>
  <c r="P629" i="6" s="1"/>
  <c r="P33" i="6"/>
  <c r="M30" i="6"/>
  <c r="M31" i="6"/>
  <c r="P16" i="6"/>
  <c r="M14" i="6"/>
  <c r="P14" i="6" s="1"/>
  <c r="P20" i="4"/>
  <c r="M31" i="5"/>
  <c r="P31" i="5" s="1"/>
  <c r="M13" i="5"/>
  <c r="P13" i="5" s="1"/>
  <c r="P132" i="5"/>
  <c r="O18" i="5"/>
  <c r="O24" i="5"/>
  <c r="O30" i="5"/>
  <c r="L28" i="5"/>
  <c r="O28" i="5" s="1"/>
  <c r="O30" i="3"/>
  <c r="O88" i="5"/>
  <c r="L37" i="5"/>
  <c r="L414" i="5"/>
  <c r="O414" i="5" s="1"/>
  <c r="N37" i="5"/>
  <c r="O41" i="5"/>
  <c r="P469" i="2"/>
  <c r="M467" i="2"/>
  <c r="P467" i="2" s="1"/>
  <c r="O9" i="5"/>
  <c r="N629" i="1"/>
  <c r="P629" i="1" s="1"/>
  <c r="O24" i="4"/>
  <c r="P20" i="5"/>
  <c r="M18" i="5"/>
  <c r="P18" i="5" s="1"/>
  <c r="P41" i="5"/>
  <c r="M37" i="5"/>
  <c r="P469" i="3"/>
  <c r="P467" i="4"/>
  <c r="P24" i="4"/>
  <c r="N37" i="4"/>
  <c r="P41" i="4"/>
  <c r="O467" i="4"/>
  <c r="P53" i="4"/>
  <c r="M37" i="4"/>
  <c r="N414" i="4"/>
  <c r="M13" i="2"/>
  <c r="M11" i="2" s="1"/>
  <c r="P11" i="2" s="1"/>
  <c r="M37" i="3"/>
  <c r="M30" i="4"/>
  <c r="P33" i="4"/>
  <c r="M31" i="4"/>
  <c r="P31" i="4" s="1"/>
  <c r="M13" i="4"/>
  <c r="N11" i="4"/>
  <c r="M18" i="4"/>
  <c r="P18" i="4" s="1"/>
  <c r="O30" i="4"/>
  <c r="N28" i="4"/>
  <c r="O28" i="4" s="1"/>
  <c r="P9" i="4"/>
  <c r="N8" i="4"/>
  <c r="I180" i="4"/>
  <c r="K180" i="4" s="1"/>
  <c r="K226" i="4"/>
  <c r="L414" i="4"/>
  <c r="L37" i="4"/>
  <c r="P446" i="4"/>
  <c r="M444" i="4"/>
  <c r="P444" i="4" s="1"/>
  <c r="M31" i="2"/>
  <c r="P31" i="2" s="1"/>
  <c r="L10" i="4"/>
  <c r="O13" i="4"/>
  <c r="L11" i="4"/>
  <c r="O41" i="4"/>
  <c r="M28" i="2"/>
  <c r="P28" i="2" s="1"/>
  <c r="P421" i="4"/>
  <c r="M419" i="4"/>
  <c r="L18" i="4"/>
  <c r="O18" i="4" s="1"/>
  <c r="P16" i="4"/>
  <c r="M14" i="4"/>
  <c r="P14" i="4" s="1"/>
  <c r="O21" i="4"/>
  <c r="P24" i="3"/>
  <c r="L414" i="3"/>
  <c r="O24" i="3"/>
  <c r="N11" i="3"/>
  <c r="P33" i="2"/>
  <c r="M419" i="2"/>
  <c r="P421" i="2"/>
  <c r="P13" i="3"/>
  <c r="M10" i="3"/>
  <c r="M11" i="3"/>
  <c r="P11" i="3" s="1"/>
  <c r="O28" i="3"/>
  <c r="P33" i="3"/>
  <c r="M30" i="3"/>
  <c r="M31" i="3"/>
  <c r="P31" i="3" s="1"/>
  <c r="P20" i="3"/>
  <c r="M18" i="3"/>
  <c r="P18" i="3" s="1"/>
  <c r="O21" i="3"/>
  <c r="K226" i="3"/>
  <c r="I180" i="3"/>
  <c r="K180" i="3" s="1"/>
  <c r="P16" i="3"/>
  <c r="M14" i="3"/>
  <c r="P14" i="3" s="1"/>
  <c r="P546" i="3"/>
  <c r="M544" i="3"/>
  <c r="N37" i="3"/>
  <c r="P21" i="3"/>
  <c r="N8" i="3"/>
  <c r="P20" i="2"/>
  <c r="O149" i="3"/>
  <c r="O13" i="3"/>
  <c r="L10" i="3"/>
  <c r="L11" i="3"/>
  <c r="O16" i="3"/>
  <c r="L14" i="3"/>
  <c r="O14" i="3" s="1"/>
  <c r="O467" i="3"/>
  <c r="P467" i="3"/>
  <c r="N414" i="3"/>
  <c r="O41" i="3"/>
  <c r="L37" i="3"/>
  <c r="O20" i="3"/>
  <c r="L18" i="3"/>
  <c r="O18" i="3" s="1"/>
  <c r="P24" i="2"/>
  <c r="O9" i="2"/>
  <c r="O20" i="2"/>
  <c r="L18" i="2"/>
  <c r="O18" i="2" s="1"/>
  <c r="L37" i="2"/>
  <c r="P16" i="2"/>
  <c r="P9" i="2"/>
  <c r="J592" i="1"/>
  <c r="K592" i="1" s="1"/>
  <c r="O685" i="2"/>
  <c r="L414" i="2"/>
  <c r="O414" i="2" s="1"/>
  <c r="M37" i="2"/>
  <c r="O14" i="2"/>
  <c r="M18" i="2"/>
  <c r="P18" i="2" s="1"/>
  <c r="P14" i="2"/>
  <c r="N10" i="2"/>
  <c r="N8" i="2" s="1"/>
  <c r="O21" i="2"/>
  <c r="O16" i="2"/>
  <c r="O13" i="2"/>
  <c r="L10" i="2"/>
  <c r="L11" i="2"/>
  <c r="O11" i="2" s="1"/>
  <c r="N37" i="2"/>
  <c r="P631" i="1"/>
  <c r="P447" i="1"/>
  <c r="O632" i="1"/>
  <c r="P422" i="1"/>
  <c r="P657" i="1"/>
  <c r="P328" i="1"/>
  <c r="O655" i="1"/>
  <c r="P421" i="1"/>
  <c r="O657" i="1"/>
  <c r="P525" i="1"/>
  <c r="O688" i="1"/>
  <c r="N419" i="1"/>
  <c r="O470" i="1"/>
  <c r="N523" i="1"/>
  <c r="P523" i="1" s="1"/>
  <c r="O18" i="1"/>
  <c r="O119" i="1"/>
  <c r="P547" i="1"/>
  <c r="P88" i="1"/>
  <c r="P18" i="1"/>
  <c r="O16" i="1"/>
  <c r="N13" i="1"/>
  <c r="N11" i="1" s="1"/>
  <c r="O11" i="1" s="1"/>
  <c r="P526" i="1"/>
  <c r="O546" i="1"/>
  <c r="N544" i="1"/>
  <c r="O544" i="1" s="1"/>
  <c r="P33" i="1"/>
  <c r="L414" i="1"/>
  <c r="P345" i="1"/>
  <c r="O389" i="1"/>
  <c r="P546" i="1"/>
  <c r="P53" i="1"/>
  <c r="P20" i="1"/>
  <c r="N467" i="1"/>
  <c r="P469" i="1"/>
  <c r="O469" i="1"/>
  <c r="L37" i="1"/>
  <c r="O41" i="1"/>
  <c r="J180" i="1"/>
  <c r="K180" i="1" s="1"/>
  <c r="K226" i="1"/>
  <c r="L10" i="1"/>
  <c r="L8" i="1" s="1"/>
  <c r="M10" i="1"/>
  <c r="M11" i="1"/>
  <c r="L28" i="1"/>
  <c r="O402" i="1"/>
  <c r="P402" i="1"/>
  <c r="L14" i="1"/>
  <c r="O14" i="1" s="1"/>
  <c r="O9" i="1"/>
  <c r="O20" i="1"/>
  <c r="P24" i="1"/>
  <c r="M28" i="1"/>
  <c r="O24" i="1"/>
  <c r="M37" i="1"/>
  <c r="P21" i="1"/>
  <c r="N37" i="1"/>
  <c r="O132" i="1"/>
  <c r="P132" i="1"/>
  <c r="J543" i="1"/>
  <c r="K543" i="1" s="1"/>
  <c r="K559" i="1"/>
  <c r="P16" i="1"/>
  <c r="M14" i="1"/>
  <c r="P14" i="1" s="1"/>
  <c r="N31" i="1"/>
  <c r="P31" i="1" s="1"/>
  <c r="N30" i="1"/>
  <c r="N28" i="1" s="1"/>
  <c r="P37" i="15" l="1"/>
  <c r="O11" i="15"/>
  <c r="O10" i="15"/>
  <c r="L8" i="15"/>
  <c r="O8" i="15" s="1"/>
  <c r="O10" i="5"/>
  <c r="O37" i="15"/>
  <c r="P37" i="14"/>
  <c r="O18" i="14"/>
  <c r="M11" i="14"/>
  <c r="P11" i="14" s="1"/>
  <c r="M10" i="14"/>
  <c r="M28" i="14"/>
  <c r="P28" i="14" s="1"/>
  <c r="P30" i="14"/>
  <c r="O10" i="14"/>
  <c r="L8" i="14"/>
  <c r="O8" i="14" s="1"/>
  <c r="P18" i="13"/>
  <c r="O37" i="14"/>
  <c r="O11" i="12"/>
  <c r="O37" i="13"/>
  <c r="P8" i="12"/>
  <c r="P10" i="8"/>
  <c r="O37" i="11"/>
  <c r="P13" i="13"/>
  <c r="M10" i="13"/>
  <c r="M11" i="13"/>
  <c r="P11" i="13" s="1"/>
  <c r="P30" i="13"/>
  <c r="M28" i="13"/>
  <c r="P28" i="13" s="1"/>
  <c r="P444" i="13"/>
  <c r="M414" i="13"/>
  <c r="P414" i="13" s="1"/>
  <c r="L8" i="13"/>
  <c r="O8" i="13" s="1"/>
  <c r="P37" i="10"/>
  <c r="P37" i="11"/>
  <c r="P37" i="12"/>
  <c r="P37" i="9"/>
  <c r="P444" i="12"/>
  <c r="M414" i="12"/>
  <c r="P414" i="12" s="1"/>
  <c r="M28" i="12"/>
  <c r="P28" i="12" s="1"/>
  <c r="P30" i="12"/>
  <c r="L8" i="12"/>
  <c r="O8" i="12" s="1"/>
  <c r="O37" i="12"/>
  <c r="P10" i="11"/>
  <c r="O8" i="11"/>
  <c r="O10" i="11"/>
  <c r="M8" i="11"/>
  <c r="P8" i="11" s="1"/>
  <c r="P10" i="10"/>
  <c r="M414" i="10"/>
  <c r="P414" i="10" s="1"/>
  <c r="O11" i="11"/>
  <c r="M414" i="11"/>
  <c r="P414" i="11" s="1"/>
  <c r="O37" i="10"/>
  <c r="P30" i="10"/>
  <c r="M28" i="10"/>
  <c r="P28" i="10" s="1"/>
  <c r="M11" i="10"/>
  <c r="P11" i="10" s="1"/>
  <c r="P13" i="10"/>
  <c r="O37" i="9"/>
  <c r="O10" i="10"/>
  <c r="L8" i="10"/>
  <c r="O8" i="10" s="1"/>
  <c r="M8" i="10"/>
  <c r="P8" i="10" s="1"/>
  <c r="P37" i="8"/>
  <c r="M8" i="8"/>
  <c r="P8" i="8" s="1"/>
  <c r="O18" i="9"/>
  <c r="O11" i="9"/>
  <c r="M414" i="9"/>
  <c r="P414" i="9" s="1"/>
  <c r="O10" i="9"/>
  <c r="L8" i="9"/>
  <c r="O8" i="9" s="1"/>
  <c r="P13" i="9"/>
  <c r="M10" i="9"/>
  <c r="M11" i="9"/>
  <c r="P11" i="9" s="1"/>
  <c r="P30" i="9"/>
  <c r="M28" i="9"/>
  <c r="P28" i="9" s="1"/>
  <c r="O14" i="7"/>
  <c r="O414" i="7"/>
  <c r="O629" i="1"/>
  <c r="O8" i="5"/>
  <c r="M414" i="8"/>
  <c r="P414" i="8" s="1"/>
  <c r="P419" i="8"/>
  <c r="O37" i="7"/>
  <c r="P37" i="7"/>
  <c r="M10" i="5"/>
  <c r="P10" i="5" s="1"/>
  <c r="P30" i="8"/>
  <c r="M28" i="8"/>
  <c r="P28" i="8" s="1"/>
  <c r="L8" i="8"/>
  <c r="O8" i="8" s="1"/>
  <c r="P14" i="7"/>
  <c r="O37" i="8"/>
  <c r="P444" i="7"/>
  <c r="M414" i="7"/>
  <c r="P414" i="7" s="1"/>
  <c r="O414" i="3"/>
  <c r="P37" i="3"/>
  <c r="O8" i="7"/>
  <c r="O37" i="6"/>
  <c r="O10" i="7"/>
  <c r="P30" i="7"/>
  <c r="M28" i="7"/>
  <c r="P28" i="7" s="1"/>
  <c r="P10" i="7"/>
  <c r="M8" i="7"/>
  <c r="P8" i="7" s="1"/>
  <c r="M28" i="5"/>
  <c r="P28" i="5" s="1"/>
  <c r="M414" i="5"/>
  <c r="P414" i="5" s="1"/>
  <c r="P37" i="6"/>
  <c r="N28" i="6"/>
  <c r="O28" i="6" s="1"/>
  <c r="O30" i="6"/>
  <c r="M414" i="6"/>
  <c r="P419" i="6"/>
  <c r="P31" i="6"/>
  <c r="M8" i="6"/>
  <c r="P30" i="6"/>
  <c r="M28" i="6"/>
  <c r="P28" i="6" s="1"/>
  <c r="N10" i="6"/>
  <c r="N8" i="6" s="1"/>
  <c r="O8" i="6" s="1"/>
  <c r="N11" i="6"/>
  <c r="O11" i="6" s="1"/>
  <c r="O13" i="6"/>
  <c r="N414" i="6"/>
  <c r="O414" i="6" s="1"/>
  <c r="P13" i="6"/>
  <c r="P13" i="2"/>
  <c r="M11" i="5"/>
  <c r="P11" i="5" s="1"/>
  <c r="P37" i="5"/>
  <c r="O37" i="5"/>
  <c r="M10" i="4"/>
  <c r="P13" i="4"/>
  <c r="M11" i="4"/>
  <c r="P11" i="4" s="1"/>
  <c r="O11" i="4"/>
  <c r="O37" i="4"/>
  <c r="P37" i="4"/>
  <c r="O11" i="3"/>
  <c r="O414" i="4"/>
  <c r="M10" i="2"/>
  <c r="M8" i="2" s="1"/>
  <c r="P8" i="2" s="1"/>
  <c r="P419" i="4"/>
  <c r="M414" i="4"/>
  <c r="P414" i="4" s="1"/>
  <c r="O10" i="4"/>
  <c r="L8" i="4"/>
  <c r="O8" i="4" s="1"/>
  <c r="P30" i="4"/>
  <c r="M28" i="4"/>
  <c r="P28" i="4" s="1"/>
  <c r="O10" i="2"/>
  <c r="O37" i="3"/>
  <c r="P10" i="3"/>
  <c r="M8" i="3"/>
  <c r="P8" i="3" s="1"/>
  <c r="O10" i="3"/>
  <c r="L8" i="3"/>
  <c r="O8" i="3" s="1"/>
  <c r="P30" i="3"/>
  <c r="M28" i="3"/>
  <c r="P28" i="3" s="1"/>
  <c r="P544" i="3"/>
  <c r="M414" i="3"/>
  <c r="P414" i="3" s="1"/>
  <c r="P419" i="2"/>
  <c r="M414" i="2"/>
  <c r="P414" i="2" s="1"/>
  <c r="P37" i="2"/>
  <c r="O37" i="2"/>
  <c r="L8" i="2"/>
  <c r="O8" i="2" s="1"/>
  <c r="P13" i="1"/>
  <c r="P419" i="1"/>
  <c r="O419" i="1"/>
  <c r="O523" i="1"/>
  <c r="O13" i="1"/>
  <c r="N10" i="1"/>
  <c r="N8" i="1" s="1"/>
  <c r="O8" i="1" s="1"/>
  <c r="P30" i="1"/>
  <c r="P544" i="1"/>
  <c r="P37" i="1"/>
  <c r="O37" i="1"/>
  <c r="O31" i="1"/>
  <c r="O30" i="1"/>
  <c r="P28" i="1"/>
  <c r="P467" i="1"/>
  <c r="O467" i="1"/>
  <c r="N414" i="1"/>
  <c r="P11" i="1"/>
  <c r="O28" i="1"/>
  <c r="M8" i="1"/>
  <c r="M8" i="14" l="1"/>
  <c r="P8" i="14" s="1"/>
  <c r="P10" i="14"/>
  <c r="P10" i="13"/>
  <c r="M8" i="13"/>
  <c r="P8" i="13" s="1"/>
  <c r="M8" i="5"/>
  <c r="P8" i="5" s="1"/>
  <c r="P10" i="9"/>
  <c r="M8" i="9"/>
  <c r="P8" i="9" s="1"/>
  <c r="P11" i="6"/>
  <c r="P8" i="6"/>
  <c r="P10" i="6"/>
  <c r="P414" i="6"/>
  <c r="O10" i="6"/>
  <c r="P10" i="2"/>
  <c r="P10" i="4"/>
  <c r="M8" i="4"/>
  <c r="P8" i="4" s="1"/>
  <c r="P8" i="1"/>
  <c r="O10" i="1"/>
  <c r="P10" i="1"/>
  <c r="O414" i="1"/>
  <c r="P414" i="1"/>
</calcChain>
</file>

<file path=xl/sharedStrings.xml><?xml version="1.0" encoding="utf-8"?>
<sst xmlns="http://schemas.openxmlformats.org/spreadsheetml/2006/main" count="23315" uniqueCount="356">
  <si>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</si>
  <si>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</si>
  <si>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</si>
  <si>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</si>
  <si>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</si>
  <si>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</si>
  <si>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</si>
  <si>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</si>
  <si>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</si>
  <si>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</si>
  <si>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</si>
  <si>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</si>
  <si>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</si>
  <si>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</si>
  <si>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</si>
  <si>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</si>
  <si>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</si>
  <si>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</si>
  <si>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</si>
  <si>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</si>
  <si>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</si>
  <si>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</si>
  <si>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</si>
  <si>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</si>
  <si>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</si>
  <si>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</si>
  <si>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</si>
  <si>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</si>
  <si>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</si>
  <si>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</si>
  <si>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</si>
  <si>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</si>
  <si>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</si>
  <si>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</si>
  <si>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</si>
  <si>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</si>
  <si>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</si>
  <si>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</si>
  <si>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</si>
  <si>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</si>
  <si>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</si>
  <si>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</si>
  <si>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</si>
  <si>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</si>
  <si>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</si>
  <si>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</si>
  <si>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</si>
  <si>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</si>
  <si>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</si>
  <si>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</si>
  <si>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</si>
  <si>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</si>
  <si>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</si>
  <si>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</si>
  <si>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</si>
  <si>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</si>
  <si>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</si>
  <si>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</si>
  <si>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</si>
  <si>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</si>
  <si>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</si>
  <si>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</si>
  <si>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</si>
  <si>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</si>
  <si>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</si>
  <si>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</si>
  <si>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</si>
  <si>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</si>
  <si>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</si>
  <si>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</si>
  <si>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</si>
  <si>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</si>
  <si>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</si>
  <si>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</si>
  <si>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</si>
  <si>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</si>
  <si>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</si>
  <si>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</si>
  <si>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</si>
  <si>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</si>
  <si>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</si>
  <si>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</si>
  <si>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</si>
  <si>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</si>
  <si>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</si>
  <si>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</si>
  <si>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</si>
  <si>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</si>
  <si>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</si>
  <si>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</si>
  <si>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</si>
  <si>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</si>
  <si>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</si>
  <si>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</si>
  <si>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</si>
  <si>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</si>
  <si>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</si>
  <si>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</si>
  <si>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</si>
  <si>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</si>
  <si>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</si>
  <si>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</si>
  <si>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</si>
  <si>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</si>
  <si>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</si>
  <si>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</si>
  <si>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</si>
  <si>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</si>
  <si>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</si>
  <si>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</si>
  <si>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</si>
  <si>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</si>
  <si>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</si>
  <si>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</si>
  <si>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</si>
  <si>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</si>
  <si>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</si>
  <si>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</si>
  <si>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</si>
  <si>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</si>
  <si>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</si>
  <si>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</si>
  <si>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</si>
  <si>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</si>
  <si>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</si>
  <si>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</si>
  <si>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</si>
  <si>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</si>
  <si>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</si>
  <si>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</si>
  <si>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</si>
  <si>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</si>
  <si>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</si>
  <si>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</si>
  <si>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</si>
  <si>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</si>
  <si>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</si>
  <si>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</si>
  <si>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</si>
  <si>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</si>
  <si>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</si>
  <si>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</si>
  <si>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</si>
  <si>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</si>
  <si>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</si>
  <si>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</si>
  <si>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</si>
  <si>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</si>
  <si>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</si>
  <si>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</si>
  <si>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</si>
  <si>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</si>
  <si>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</si>
  <si>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</si>
  <si>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</si>
  <si>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</si>
  <si>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</si>
  <si>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</si>
  <si>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</si>
  <si>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</si>
  <si>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</si>
  <si>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</si>
  <si>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</si>
  <si>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</si>
  <si>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</si>
  <si>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</si>
  <si>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</si>
  <si>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</si>
  <si>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</si>
  <si>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</si>
  <si>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</si>
  <si>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</si>
  <si>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</si>
  <si>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</si>
  <si>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</si>
  <si>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</si>
  <si>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</si>
  <si>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</si>
  <si>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</si>
  <si>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</si>
  <si>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</si>
  <si>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</si>
  <si>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</si>
  <si>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</si>
  <si>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</si>
  <si>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</si>
  <si>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</si>
  <si>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</si>
  <si>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</si>
  <si>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</si>
  <si>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</si>
  <si>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</si>
  <si>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</si>
  <si>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</si>
  <si>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</si>
  <si>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</si>
  <si>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</si>
  <si>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</si>
  <si>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</si>
  <si>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</si>
  <si>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</si>
  <si>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</si>
  <si>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</si>
  <si>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</si>
  <si>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</si>
  <si>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</si>
  <si>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</si>
  <si>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</si>
  <si>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</si>
  <si>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</si>
  <si>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</si>
  <si>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</si>
  <si>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</si>
  <si>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</si>
  <si>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</si>
  <si>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</si>
  <si>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</si>
  <si>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</si>
  <si>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</si>
  <si>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</si>
  <si>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</si>
  <si>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</si>
  <si>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</si>
  <si>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</si>
  <si>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</si>
  <si>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</si>
  <si>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</si>
  <si>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</si>
  <si>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</si>
  <si>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</si>
  <si>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</si>
  <si>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</si>
  <si>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</si>
  <si>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</si>
  <si>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</si>
  <si>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</si>
  <si>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</si>
  <si>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</si>
  <si>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</si>
  <si>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</si>
  <si>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</si>
  <si>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</si>
  <si>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</si>
  <si>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</si>
  <si>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</si>
  <si>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</si>
  <si>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</si>
  <si>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</si>
  <si>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</si>
  <si>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</si>
  <si>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</si>
  <si>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</si>
  <si>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</si>
  <si>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</si>
  <si>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</si>
  <si>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</si>
  <si>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</si>
  <si>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</si>
  <si>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</si>
  <si>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</si>
  <si>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</si>
  <si>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</si>
  <si>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</si>
  <si>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</si>
  <si>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</si>
  <si>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</si>
  <si>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</si>
  <si>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</si>
  <si>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</si>
  <si>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</si>
  <si>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</si>
  <si>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</si>
  <si>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</si>
  <si>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</si>
  <si>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</si>
  <si>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</si>
  <si>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</si>
  <si>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</si>
  <si>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</si>
  <si>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</si>
  <si>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</si>
  <si>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</si>
  <si>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</si>
  <si>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</si>
  <si>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</si>
  <si>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</si>
  <si>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</si>
  <si>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</si>
  <si>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</si>
  <si>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</si>
  <si>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</si>
  <si>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</si>
  <si>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</si>
  <si>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</si>
  <si>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</si>
  <si>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</si>
  <si>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</si>
  <si>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</si>
  <si>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</si>
  <si>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</si>
  <si>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</si>
  <si>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</si>
  <si>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</si>
  <si>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</si>
  <si>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</si>
  <si>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</si>
  <si>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</si>
  <si>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</si>
  <si>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</si>
  <si>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</si>
  <si>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</si>
  <si>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</si>
  <si>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</si>
  <si>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</si>
  <si>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</si>
  <si>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</si>
  <si>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</si>
  <si>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</si>
  <si>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</si>
  <si>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</si>
  <si>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</si>
  <si>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</si>
  <si>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</si>
  <si>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</si>
  <si>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</si>
  <si>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</si>
  <si>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</si>
  <si>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</si>
  <si>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</si>
  <si>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</si>
  <si>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ข้อมูล ณ วันที่ 18 เมษายน 2566</t>
  </si>
  <si>
    <t>สำนักงานการปฏิรูปที่ดินจังหวัด กระบี่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</si>
  <si>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</si>
  <si>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</si>
  <si>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</si>
  <si>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ชุมพร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</si>
  <si>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</si>
  <si>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ตรัง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</si>
  <si>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</si>
  <si>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</si>
  <si>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</si>
  <si>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t>@</t>
  </si>
  <si>
    <t>สำนักงานการปฏิรูปที่ดินจังหวัด นราธิวาส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</si>
  <si>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</si>
  <si>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</si>
  <si>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</si>
  <si>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</si>
  <si>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</si>
  <si>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ภูเก็ต</t>
  </si>
  <si>
    <t>- รายโรงเรียน</t>
  </si>
  <si>
    <t>- โรงเรียน/แปลง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</si>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</sst>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537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0" fillId="0" borderId="0" xfId="0"/>
    <xf numFmtId="0" fontId="0" fillId="0" borderId="0" xfId="0"/>
    <xf numFmtId="0" fontId="2" fillId="2" borderId="1" xfId="0" applyFont="1" applyFill="1" applyBorder="1"/>
    <xf numFmtId="187" fontId="2" fillId="2" borderId="1" xfId="0" applyNumberFormat="1" applyFont="1" applyFill="1" applyBorder="1"/>
    <xf numFmtId="188" fontId="2" fillId="2" borderId="1" xfId="0" applyNumberFormat="1" applyFont="1" applyFill="1" applyBorder="1"/>
    <xf numFmtId="0" fontId="1" fillId="8" borderId="5" xfId="0" applyFont="1" applyFill="1" applyBorder="1"/>
    <xf numFmtId="0" fontId="4" fillId="8" borderId="4" xfId="0" applyFont="1" applyFill="1" applyBorder="1"/>
    <xf numFmtId="189" fontId="4" fillId="8" borderId="4" xfId="0" applyNumberFormat="1" applyFont="1" applyFill="1" applyBorder="1"/>
    <xf numFmtId="188" fontId="4" fillId="8" borderId="4" xfId="0" applyNumberFormat="1" applyFont="1" applyFill="1" applyBorder="1"/>
    <xf numFmtId="0" fontId="2" fillId="9" borderId="6" xfId="0" applyFont="1" applyFill="1" applyBorder="1"/>
    <xf numFmtId="0" fontId="2" fillId="9" borderId="7" xfId="0" applyFont="1" applyFill="1" applyBorder="1"/>
    <xf numFmtId="0" fontId="1" fillId="9" borderId="7" xfId="0" applyFont="1" applyFill="1" applyBorder="1"/>
    <xf numFmtId="0" fontId="5" fillId="9" borderId="7" xfId="0" applyFont="1" applyFill="1" applyBorder="1"/>
    <xf numFmtId="0" fontId="2" fillId="9" borderId="8" xfId="0" applyFont="1" applyFill="1" applyBorder="1"/>
    <xf numFmtId="189" fontId="4" fillId="9" borderId="8" xfId="0" applyNumberFormat="1" applyFont="1" applyFill="1" applyBorder="1"/>
    <xf numFmtId="188" fontId="4" fillId="9" borderId="8" xfId="0" applyNumberFormat="1" applyFont="1" applyFill="1" applyBorder="1"/>
    <xf numFmtId="188" fontId="6" fillId="9" borderId="8" xfId="0" applyNumberFormat="1" applyFont="1" applyFill="1" applyBorder="1"/>
    <xf numFmtId="0" fontId="2" fillId="0" borderId="0" xfId="0" applyFont="1"/>
    <xf numFmtId="0" fontId="7" fillId="9" borderId="9" xfId="0" applyFont="1" applyFill="1" applyBorder="1"/>
    <xf numFmtId="0" fontId="7" fillId="9" borderId="10" xfId="0" applyFont="1" applyFill="1" applyBorder="1"/>
    <xf numFmtId="0" fontId="8" fillId="9" borderId="10" xfId="0" applyFont="1" applyFill="1" applyBorder="1"/>
    <xf numFmtId="0" fontId="7" fillId="9" borderId="11" xfId="0" applyFont="1" applyFill="1" applyBorder="1"/>
    <xf numFmtId="189" fontId="9" fillId="9" borderId="11" xfId="0" applyNumberFormat="1" applyFont="1" applyFill="1" applyBorder="1"/>
    <xf numFmtId="188" fontId="9" fillId="9" borderId="11" xfId="0" applyNumberFormat="1" applyFont="1" applyFill="1" applyBorder="1"/>
    <xf numFmtId="0" fontId="7" fillId="0" borderId="0" xfId="0" applyFont="1"/>
    <xf numFmtId="0" fontId="2" fillId="2" borderId="9" xfId="0" applyFont="1" applyFill="1" applyBorder="1"/>
    <xf numFmtId="0" fontId="2" fillId="2" borderId="10" xfId="0" applyFont="1" applyFill="1" applyBorder="1"/>
    <xf numFmtId="0" fontId="10" fillId="2" borderId="10" xfId="0" applyFont="1" applyFill="1" applyBorder="1"/>
    <xf numFmtId="0" fontId="2" fillId="2" borderId="11" xfId="0" applyFont="1" applyFill="1" applyBorder="1"/>
    <xf numFmtId="189" fontId="4" fillId="2" borderId="11" xfId="0" applyNumberFormat="1" applyFont="1" applyFill="1" applyBorder="1"/>
    <xf numFmtId="188" fontId="4" fillId="2" borderId="11" xfId="0" applyNumberFormat="1" applyFont="1" applyFill="1" applyBorder="1"/>
    <xf numFmtId="0" fontId="7" fillId="2" borderId="9" xfId="0" applyFont="1" applyFill="1" applyBorder="1"/>
    <xf numFmtId="0" fontId="7" fillId="2" borderId="10" xfId="0" applyFont="1" applyFill="1" applyBorder="1"/>
    <xf numFmtId="0" fontId="8" fillId="2" borderId="10" xfId="0" applyFont="1" applyFill="1" applyBorder="1"/>
    <xf numFmtId="0" fontId="7" fillId="2" borderId="11" xfId="0" applyFont="1" applyFill="1" applyBorder="1"/>
    <xf numFmtId="189" fontId="9" fillId="2" borderId="11" xfId="0" applyNumberFormat="1" applyFont="1" applyFill="1" applyBorder="1"/>
    <xf numFmtId="188" fontId="9" fillId="2" borderId="11" xfId="0" applyNumberFormat="1" applyFont="1" applyFill="1" applyBorder="1"/>
    <xf numFmtId="0" fontId="7" fillId="2" borderId="5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8" fillId="2" borderId="4" xfId="0" applyFont="1" applyFill="1" applyBorder="1"/>
    <xf numFmtId="189" fontId="9" fillId="2" borderId="4" xfId="0" applyNumberFormat="1" applyFont="1" applyFill="1" applyBorder="1"/>
    <xf numFmtId="188" fontId="9" fillId="2" borderId="4" xfId="0" applyNumberFormat="1" applyFont="1" applyFill="1" applyBorder="1"/>
    <xf numFmtId="0" fontId="1" fillId="41" borderId="5" xfId="0" applyFont="1" applyFill="1" applyBorder="1"/>
    <xf numFmtId="0" fontId="2" fillId="41" borderId="1" xfId="0" applyFont="1" applyFill="1" applyBorder="1"/>
    <xf numFmtId="0" fontId="2" fillId="41" borderId="4" xfId="0" applyFont="1" applyFill="1" applyBorder="1"/>
    <xf numFmtId="0" fontId="4" fillId="41" borderId="4" xfId="0" applyFont="1" applyFill="1" applyBorder="1"/>
    <xf numFmtId="189" fontId="4" fillId="41" borderId="4" xfId="0" applyNumberFormat="1" applyFont="1" applyFill="1" applyBorder="1"/>
    <xf numFmtId="188" fontId="4" fillId="41" borderId="4" xfId="0" applyNumberFormat="1" applyFont="1" applyFill="1" applyBorder="1"/>
    <xf numFmtId="188" fontId="6" fillId="41" borderId="4" xfId="0" applyNumberFormat="1" applyFont="1" applyFill="1" applyBorder="1"/>
    <xf numFmtId="0" fontId="1" fillId="11" borderId="5" xfId="0" applyFont="1" applyFill="1" applyBorder="1"/>
    <xf numFmtId="0" fontId="2" fillId="11" borderId="1" xfId="0" applyFont="1" applyFill="1" applyBorder="1"/>
    <xf numFmtId="0" fontId="2" fillId="11" borderId="4" xfId="0" applyFont="1" applyFill="1" applyBorder="1"/>
    <xf numFmtId="0" fontId="4" fillId="11" borderId="4" xfId="0" applyFont="1" applyFill="1" applyBorder="1"/>
    <xf numFmtId="189" fontId="4" fillId="11" borderId="4" xfId="0" applyNumberFormat="1" applyFont="1" applyFill="1" applyBorder="1"/>
    <xf numFmtId="188" fontId="4" fillId="11" borderId="4" xfId="0" applyNumberFormat="1" applyFont="1" applyFill="1" applyBorder="1"/>
    <xf numFmtId="0" fontId="2" fillId="12" borderId="9" xfId="0" applyFont="1" applyFill="1" applyBorder="1"/>
    <xf numFmtId="0" fontId="1" fillId="12" borderId="10" xfId="0" applyFont="1" applyFill="1" applyBorder="1"/>
    <xf numFmtId="0" fontId="2" fillId="12" borderId="10" xfId="0" applyFont="1" applyFill="1" applyBorder="1"/>
    <xf numFmtId="0" fontId="2" fillId="12" borderId="11" xfId="0" applyFont="1" applyFill="1" applyBorder="1"/>
    <xf numFmtId="0" fontId="4" fillId="12" borderId="11" xfId="0" applyFont="1" applyFill="1" applyBorder="1"/>
    <xf numFmtId="189" fontId="4" fillId="12" borderId="11" xfId="0" applyNumberFormat="1" applyFont="1" applyFill="1" applyBorder="1"/>
    <xf numFmtId="188" fontId="4" fillId="12" borderId="11" xfId="0" applyNumberFormat="1" applyFont="1" applyFill="1" applyBorder="1"/>
    <xf numFmtId="0" fontId="2" fillId="13" borderId="9" xfId="0" applyFont="1" applyFill="1" applyBorder="1"/>
    <xf numFmtId="0" fontId="1" fillId="13" borderId="10" xfId="0" applyFont="1" applyFill="1" applyBorder="1"/>
    <xf numFmtId="0" fontId="4" fillId="13" borderId="11" xfId="0" applyFont="1" applyFill="1" applyBorder="1"/>
    <xf numFmtId="189" fontId="4" fillId="13" borderId="11" xfId="0" applyNumberFormat="1" applyFont="1" applyFill="1" applyBorder="1"/>
    <xf numFmtId="188" fontId="4" fillId="13" borderId="11" xfId="0" applyNumberFormat="1" applyFont="1" applyFill="1" applyBorder="1"/>
    <xf numFmtId="0" fontId="2" fillId="14" borderId="12" xfId="0" applyFont="1" applyFill="1" applyBorder="1"/>
    <xf numFmtId="0" fontId="2" fillId="14" borderId="13" xfId="0" applyFont="1" applyFill="1" applyBorder="1"/>
    <xf numFmtId="0" fontId="1" fillId="14" borderId="13" xfId="0" applyFont="1" applyFill="1" applyBorder="1"/>
    <xf numFmtId="0" fontId="5" fillId="14" borderId="13" xfId="0" applyFont="1" applyFill="1" applyBorder="1"/>
    <xf numFmtId="0" fontId="2" fillId="14" borderId="14" xfId="0" applyFont="1" applyFill="1" applyBorder="1"/>
    <xf numFmtId="189" fontId="4" fillId="14" borderId="14" xfId="0" applyNumberFormat="1" applyFont="1" applyFill="1" applyBorder="1"/>
    <xf numFmtId="188" fontId="4" fillId="14" borderId="14" xfId="0" applyNumberFormat="1" applyFont="1" applyFill="1" applyBorder="1"/>
    <xf numFmtId="188" fontId="6" fillId="14" borderId="14" xfId="0" applyNumberFormat="1" applyFont="1" applyFill="1" applyBorder="1"/>
    <xf numFmtId="0" fontId="7" fillId="14" borderId="9" xfId="0" applyFont="1" applyFill="1" applyBorder="1"/>
    <xf numFmtId="0" fontId="7" fillId="14" borderId="10" xfId="0" applyFont="1" applyFill="1" applyBorder="1"/>
    <xf numFmtId="0" fontId="8" fillId="14" borderId="10" xfId="0" applyFont="1" applyFill="1" applyBorder="1"/>
    <xf numFmtId="0" fontId="8" fillId="14" borderId="11" xfId="0" applyFont="1" applyFill="1" applyBorder="1"/>
    <xf numFmtId="189" fontId="9" fillId="14" borderId="11" xfId="0" applyNumberFormat="1" applyFont="1" applyFill="1" applyBorder="1"/>
    <xf numFmtId="188" fontId="9" fillId="14" borderId="11" xfId="0" applyNumberFormat="1" applyFont="1" applyFill="1" applyBorder="1"/>
    <xf numFmtId="0" fontId="1" fillId="15" borderId="5" xfId="0" applyFont="1" applyFill="1" applyBorder="1"/>
    <xf numFmtId="0" fontId="4" fillId="15" borderId="4" xfId="0" applyFont="1" applyFill="1" applyBorder="1"/>
    <xf numFmtId="189" fontId="4" fillId="15" borderId="4" xfId="0" applyNumberFormat="1" applyFont="1" applyFill="1" applyBorder="1"/>
    <xf numFmtId="188" fontId="4" fillId="15" borderId="4" xfId="0" applyNumberFormat="1" applyFont="1" applyFill="1" applyBorder="1"/>
    <xf numFmtId="0" fontId="2" fillId="16" borderId="9" xfId="0" applyFont="1" applyFill="1" applyBorder="1"/>
    <xf numFmtId="0" fontId="1" fillId="16" borderId="10" xfId="0" applyFont="1" applyFill="1" applyBorder="1"/>
    <xf numFmtId="0" fontId="4" fillId="16" borderId="11" xfId="0" applyFont="1" applyFill="1" applyBorder="1"/>
    <xf numFmtId="189" fontId="4" fillId="16" borderId="11" xfId="0" applyNumberFormat="1" applyFont="1" applyFill="1" applyBorder="1"/>
    <xf numFmtId="188" fontId="4" fillId="16" borderId="11" xfId="0" applyNumberFormat="1" applyFont="1" applyFill="1" applyBorder="1"/>
    <xf numFmtId="0" fontId="2" fillId="17" borderId="9" xfId="0" applyFont="1" applyFill="1" applyBorder="1"/>
    <xf numFmtId="0" fontId="1" fillId="17" borderId="10" xfId="0" applyFont="1" applyFill="1" applyBorder="1"/>
    <xf numFmtId="0" fontId="2" fillId="17" borderId="10" xfId="0" applyFont="1" applyFill="1" applyBorder="1"/>
    <xf numFmtId="0" fontId="2" fillId="17" borderId="11" xfId="0" applyFont="1" applyFill="1" applyBorder="1"/>
    <xf numFmtId="0" fontId="4" fillId="17" borderId="11" xfId="0" applyFont="1" applyFill="1" applyBorder="1"/>
    <xf numFmtId="189" fontId="4" fillId="17" borderId="11" xfId="0" applyNumberFormat="1" applyFont="1" applyFill="1" applyBorder="1"/>
    <xf numFmtId="188" fontId="4" fillId="17" borderId="11" xfId="0" applyNumberFormat="1" applyFont="1" applyFill="1" applyBorder="1"/>
    <xf numFmtId="0" fontId="2" fillId="18" borderId="12" xfId="0" applyFont="1" applyFill="1" applyBorder="1"/>
    <xf numFmtId="0" fontId="2" fillId="18" borderId="13" xfId="0" applyFont="1" applyFill="1" applyBorder="1"/>
    <xf numFmtId="0" fontId="1" fillId="18" borderId="13" xfId="0" applyFont="1" applyFill="1" applyBorder="1"/>
    <xf numFmtId="0" fontId="5" fillId="18" borderId="13" xfId="0" applyFont="1" applyFill="1" applyBorder="1"/>
    <xf numFmtId="0" fontId="2" fillId="18" borderId="14" xfId="0" applyFont="1" applyFill="1" applyBorder="1"/>
    <xf numFmtId="189" fontId="4" fillId="18" borderId="14" xfId="0" applyNumberFormat="1" applyFont="1" applyFill="1" applyBorder="1"/>
    <xf numFmtId="188" fontId="4" fillId="18" borderId="14" xfId="0" applyNumberFormat="1" applyFont="1" applyFill="1" applyBorder="1"/>
    <xf numFmtId="188" fontId="6" fillId="18" borderId="14" xfId="0" applyNumberFormat="1" applyFont="1" applyFill="1" applyBorder="1"/>
    <xf numFmtId="0" fontId="7" fillId="18" borderId="9" xfId="0" applyFont="1" applyFill="1" applyBorder="1"/>
    <xf numFmtId="0" fontId="7" fillId="18" borderId="10" xfId="0" applyFont="1" applyFill="1" applyBorder="1"/>
    <xf numFmtId="0" fontId="8" fillId="18" borderId="10" xfId="0" applyFont="1" applyFill="1" applyBorder="1"/>
    <xf numFmtId="0" fontId="8" fillId="18" borderId="11" xfId="0" applyFont="1" applyFill="1" applyBorder="1"/>
    <xf numFmtId="189" fontId="9" fillId="18" borderId="11" xfId="0" applyNumberFormat="1" applyFont="1" applyFill="1" applyBorder="1"/>
    <xf numFmtId="188" fontId="9" fillId="18" borderId="11" xfId="0" applyNumberFormat="1" applyFont="1" applyFill="1" applyBorder="1"/>
    <xf numFmtId="187" fontId="1" fillId="19" borderId="5" xfId="0" applyNumberFormat="1" applyFont="1" applyFill="1" applyBorder="1"/>
    <xf numFmtId="187" fontId="2" fillId="19" borderId="1" xfId="0" applyNumberFormat="1" applyFont="1" applyFill="1" applyBorder="1"/>
    <xf numFmtId="0" fontId="2" fillId="19" borderId="1" xfId="0" applyFont="1" applyFill="1" applyBorder="1"/>
    <xf numFmtId="0" fontId="2" fillId="19" borderId="4" xfId="0" applyFont="1" applyFill="1" applyBorder="1"/>
    <xf numFmtId="0" fontId="4" fillId="19" borderId="4" xfId="0" applyFont="1" applyFill="1" applyBorder="1"/>
    <xf numFmtId="189" fontId="4" fillId="19" borderId="4" xfId="0" applyNumberFormat="1" applyFont="1" applyFill="1" applyBorder="1"/>
    <xf numFmtId="188" fontId="4" fillId="19" borderId="4" xfId="0" applyNumberFormat="1" applyFont="1" applyFill="1" applyBorder="1"/>
    <xf numFmtId="187" fontId="1" fillId="20" borderId="9" xfId="0" applyNumberFormat="1" applyFont="1" applyFill="1" applyBorder="1"/>
    <xf numFmtId="0" fontId="2" fillId="20" borderId="10" xfId="0" applyFont="1" applyFill="1" applyBorder="1"/>
    <xf numFmtId="187" fontId="2" fillId="20" borderId="10" xfId="0" applyNumberFormat="1" applyFont="1" applyFill="1" applyBorder="1"/>
    <xf numFmtId="0" fontId="2" fillId="20" borderId="11" xfId="0" applyFont="1" applyFill="1" applyBorder="1"/>
    <xf numFmtId="0" fontId="4" fillId="20" borderId="11" xfId="0" applyFont="1" applyFill="1" applyBorder="1"/>
    <xf numFmtId="189" fontId="4" fillId="20" borderId="11" xfId="0" applyNumberFormat="1" applyFont="1" applyFill="1" applyBorder="1"/>
    <xf numFmtId="188" fontId="4" fillId="20" borderId="11" xfId="0" applyNumberFormat="1" applyFont="1" applyFill="1" applyBorder="1"/>
    <xf numFmtId="190" fontId="2" fillId="9" borderId="9" xfId="0" applyNumberFormat="1" applyFont="1" applyFill="1" applyBorder="1"/>
    <xf numFmtId="0" fontId="1" fillId="9" borderId="10" xfId="0" applyFont="1" applyFill="1" applyBorder="1"/>
    <xf numFmtId="0" fontId="2" fillId="9" borderId="10" xfId="0" applyFont="1" applyFill="1" applyBorder="1"/>
    <xf numFmtId="187" fontId="2" fillId="9" borderId="10" xfId="0" applyNumberFormat="1" applyFont="1" applyFill="1" applyBorder="1"/>
    <xf numFmtId="0" fontId="2" fillId="9" borderId="11" xfId="0" applyFont="1" applyFill="1" applyBorder="1"/>
    <xf numFmtId="189" fontId="6" fillId="9" borderId="11" xfId="0" applyNumberFormat="1" applyFont="1" applyFill="1" applyBorder="1"/>
    <xf numFmtId="188" fontId="6" fillId="9" borderId="11" xfId="0" applyNumberFormat="1" applyFont="1" applyFill="1" applyBorder="1"/>
    <xf numFmtId="188" fontId="4" fillId="9" borderId="11" xfId="0" applyNumberFormat="1" applyFont="1" applyFill="1" applyBorder="1"/>
    <xf numFmtId="190" fontId="2" fillId="2" borderId="12" xfId="0" applyNumberFormat="1" applyFont="1" applyFill="1" applyBorder="1"/>
    <xf numFmtId="0" fontId="2" fillId="2" borderId="13" xfId="0" applyFont="1" applyFill="1" applyBorder="1"/>
    <xf numFmtId="0" fontId="1" fillId="2" borderId="13" xfId="0" applyFont="1" applyFill="1" applyBorder="1"/>
    <xf numFmtId="0" fontId="5" fillId="2" borderId="13" xfId="0" applyFont="1" applyFill="1" applyBorder="1"/>
    <xf numFmtId="0" fontId="2" fillId="2" borderId="14" xfId="0" applyFont="1" applyFill="1" applyBorder="1"/>
    <xf numFmtId="189" fontId="4" fillId="2" borderId="14" xfId="0" applyNumberFormat="1" applyFont="1" applyFill="1" applyBorder="1"/>
    <xf numFmtId="188" fontId="4" fillId="2" borderId="14" xfId="0" applyNumberFormat="1" applyFont="1" applyFill="1" applyBorder="1"/>
    <xf numFmtId="188" fontId="6" fillId="2" borderId="14" xfId="0" applyNumberFormat="1" applyFont="1" applyFill="1" applyBorder="1"/>
    <xf numFmtId="190" fontId="7" fillId="2" borderId="9" xfId="0" applyNumberFormat="1" applyFont="1" applyFill="1" applyBorder="1"/>
    <xf numFmtId="0" fontId="8" fillId="2" borderId="11" xfId="0" applyFont="1" applyFill="1" applyBorder="1"/>
    <xf numFmtId="190" fontId="2" fillId="2" borderId="9" xfId="0" applyNumberFormat="1" applyFont="1" applyFill="1" applyBorder="1"/>
    <xf numFmtId="0" fontId="14" fillId="2" borderId="10" xfId="0" applyFont="1" applyFill="1" applyBorder="1"/>
    <xf numFmtId="189" fontId="4" fillId="0" borderId="11" xfId="0" applyNumberFormat="1" applyFont="1" applyBorder="1"/>
    <xf numFmtId="188" fontId="4" fillId="0" borderId="11" xfId="0" applyNumberFormat="1" applyFont="1" applyBorder="1"/>
    <xf numFmtId="0" fontId="15" fillId="2" borderId="10" xfId="0" applyFont="1" applyFill="1" applyBorder="1"/>
    <xf numFmtId="189" fontId="9" fillId="0" borderId="11" xfId="0" applyNumberFormat="1" applyFont="1" applyBorder="1"/>
    <xf numFmtId="188" fontId="9" fillId="0" borderId="11" xfId="0" applyNumberFormat="1" applyFont="1" applyBorder="1"/>
    <xf numFmtId="187" fontId="2" fillId="0" borderId="9" xfId="0" applyNumberFormat="1" applyFont="1" applyBorder="1"/>
    <xf numFmtId="187" fontId="2" fillId="0" borderId="10" xfId="0" applyNumberFormat="1" applyFont="1" applyBorder="1"/>
    <xf numFmtId="0" fontId="5" fillId="21" borderId="10" xfId="0" quotePrefix="1" applyFont="1" applyFill="1" applyBorder="1"/>
    <xf numFmtId="0" fontId="2" fillId="21" borderId="10" xfId="0" applyFont="1" applyFill="1" applyBorder="1"/>
    <xf numFmtId="0" fontId="2" fillId="21" borderId="11" xfId="0" applyFont="1" applyFill="1" applyBorder="1"/>
    <xf numFmtId="0" fontId="4" fillId="0" borderId="11" xfId="0" applyFont="1" applyBorder="1"/>
    <xf numFmtId="0" fontId="14" fillId="0" borderId="10" xfId="0" quotePrefix="1" applyFont="1" applyBorder="1"/>
    <xf numFmtId="0" fontId="14" fillId="0" borderId="10" xfId="0" applyFont="1" applyBorder="1"/>
    <xf numFmtId="0" fontId="2" fillId="0" borderId="10" xfId="0" applyFont="1" applyBorder="1"/>
    <xf numFmtId="0" fontId="2" fillId="0" borderId="11" xfId="0" applyFont="1" applyBorder="1"/>
    <xf numFmtId="189" fontId="4" fillId="10" borderId="11" xfId="0" applyNumberFormat="1" applyFont="1" applyFill="1" applyBorder="1"/>
    <xf numFmtId="0" fontId="1" fillId="0" borderId="10" xfId="0" applyFont="1" applyBorder="1"/>
    <xf numFmtId="0" fontId="4" fillId="0" borderId="10" xfId="0" applyFont="1" applyBorder="1"/>
    <xf numFmtId="0" fontId="17" fillId="0" borderId="10" xfId="0" applyFont="1" applyBorder="1"/>
    <xf numFmtId="0" fontId="4" fillId="2" borderId="11" xfId="0" applyFont="1" applyFill="1" applyBorder="1"/>
    <xf numFmtId="0" fontId="18" fillId="0" borderId="10" xfId="0" applyFont="1" applyBorder="1"/>
    <xf numFmtId="189" fontId="6" fillId="0" borderId="11" xfId="0" applyNumberFormat="1" applyFont="1" applyBorder="1"/>
    <xf numFmtId="189" fontId="6" fillId="2" borderId="11" xfId="0" applyNumberFormat="1" applyFont="1" applyFill="1" applyBorder="1"/>
    <xf numFmtId="188" fontId="6" fillId="2" borderId="11" xfId="0" applyNumberFormat="1" applyFont="1" applyFill="1" applyBorder="1"/>
    <xf numFmtId="0" fontId="14" fillId="0" borderId="13" xfId="0" applyFont="1" applyBorder="1"/>
    <xf numFmtId="190" fontId="2" fillId="20" borderId="10" xfId="0" applyNumberFormat="1" applyFont="1" applyFill="1" applyBorder="1"/>
    <xf numFmtId="0" fontId="4" fillId="20" borderId="10" xfId="0" applyFont="1" applyFill="1" applyBorder="1"/>
    <xf numFmtId="189" fontId="4" fillId="20" borderId="10" xfId="0" applyNumberFormat="1" applyFont="1" applyFill="1" applyBorder="1"/>
    <xf numFmtId="188" fontId="4" fillId="20" borderId="10" xfId="0" applyNumberFormat="1" applyFont="1" applyFill="1" applyBorder="1"/>
    <xf numFmtId="190" fontId="2" fillId="9" borderId="10" xfId="0" applyNumberFormat="1" applyFont="1" applyFill="1" applyBorder="1"/>
    <xf numFmtId="189" fontId="4" fillId="9" borderId="11" xfId="0" applyNumberFormat="1" applyFont="1" applyFill="1" applyBorder="1"/>
    <xf numFmtId="190" fontId="1" fillId="9" borderId="10" xfId="0" applyNumberFormat="1" applyFont="1" applyFill="1" applyBorder="1"/>
    <xf numFmtId="0" fontId="1" fillId="2" borderId="10" xfId="0" applyFont="1" applyFill="1" applyBorder="1"/>
    <xf numFmtId="0" fontId="14" fillId="2" borderId="11" xfId="0" applyFont="1" applyFill="1" applyBorder="1"/>
    <xf numFmtId="190" fontId="20" fillId="9" borderId="9" xfId="0" applyNumberFormat="1" applyFont="1" applyFill="1" applyBorder="1"/>
    <xf numFmtId="0" fontId="5" fillId="9" borderId="10" xfId="0" applyFont="1" applyFill="1" applyBorder="1"/>
    <xf numFmtId="0" fontId="20" fillId="9" borderId="10" xfId="0" applyFont="1" applyFill="1" applyBorder="1"/>
    <xf numFmtId="0" fontId="1" fillId="9" borderId="11" xfId="0" applyFont="1" applyFill="1" applyBorder="1"/>
    <xf numFmtId="0" fontId="23" fillId="2" borderId="10" xfId="0" applyFont="1" applyFill="1" applyBorder="1"/>
    <xf numFmtId="190" fontId="7" fillId="2" borderId="17" xfId="0" applyNumberFormat="1" applyFont="1" applyFill="1" applyBorder="1"/>
    <xf numFmtId="0" fontId="7" fillId="2" borderId="18" xfId="0" applyFont="1" applyFill="1" applyBorder="1"/>
    <xf numFmtId="0" fontId="15" fillId="2" borderId="18" xfId="0" applyFont="1" applyFill="1" applyBorder="1"/>
    <xf numFmtId="0" fontId="8" fillId="2" borderId="18" xfId="0" applyFont="1" applyFill="1" applyBorder="1"/>
    <xf numFmtId="0" fontId="23" fillId="2" borderId="18" xfId="0" applyFont="1" applyFill="1" applyBorder="1"/>
    <xf numFmtId="0" fontId="8" fillId="2" borderId="19" xfId="0" applyFont="1" applyFill="1" applyBorder="1"/>
    <xf numFmtId="189" fontId="9" fillId="2" borderId="19" xfId="0" applyNumberFormat="1" applyFont="1" applyFill="1" applyBorder="1"/>
    <xf numFmtId="188" fontId="9" fillId="2" borderId="19" xfId="0" applyNumberFormat="1" applyFont="1" applyFill="1" applyBorder="1"/>
    <xf numFmtId="187" fontId="1" fillId="7" borderId="5" xfId="0" applyNumberFormat="1" applyFont="1" applyFill="1" applyBorder="1"/>
    <xf numFmtId="187" fontId="2" fillId="7" borderId="1" xfId="0" applyNumberFormat="1" applyFont="1" applyFill="1" applyBorder="1"/>
    <xf numFmtId="0" fontId="2" fillId="7" borderId="1" xfId="0" applyFont="1" applyFill="1" applyBorder="1"/>
    <xf numFmtId="0" fontId="2" fillId="7" borderId="4" xfId="0" applyFont="1" applyFill="1" applyBorder="1"/>
    <xf numFmtId="0" fontId="4" fillId="7" borderId="4" xfId="0" applyFont="1" applyFill="1" applyBorder="1"/>
    <xf numFmtId="189" fontId="4" fillId="7" borderId="4" xfId="0" applyNumberFormat="1" applyFont="1" applyFill="1" applyBorder="1"/>
    <xf numFmtId="188" fontId="4" fillId="7" borderId="4" xfId="0" applyNumberFormat="1" applyFont="1" applyFill="1" applyBorder="1"/>
    <xf numFmtId="187" fontId="1" fillId="22" borderId="9" xfId="0" applyNumberFormat="1" applyFont="1" applyFill="1" applyBorder="1"/>
    <xf numFmtId="187" fontId="2" fillId="22" borderId="10" xfId="0" applyNumberFormat="1" applyFont="1" applyFill="1" applyBorder="1"/>
    <xf numFmtId="0" fontId="2" fillId="22" borderId="10" xfId="0" applyFont="1" applyFill="1" applyBorder="1"/>
    <xf numFmtId="0" fontId="2" fillId="22" borderId="11" xfId="0" applyFont="1" applyFill="1" applyBorder="1"/>
    <xf numFmtId="0" fontId="4" fillId="22" borderId="11" xfId="0" applyFont="1" applyFill="1" applyBorder="1"/>
    <xf numFmtId="189" fontId="4" fillId="22" borderId="11" xfId="0" applyNumberFormat="1" applyFont="1" applyFill="1" applyBorder="1"/>
    <xf numFmtId="188" fontId="4" fillId="22" borderId="11" xfId="0" applyNumberFormat="1" applyFont="1" applyFill="1" applyBorder="1"/>
    <xf numFmtId="187" fontId="2" fillId="21" borderId="9" xfId="0" applyNumberFormat="1" applyFont="1" applyFill="1" applyBorder="1"/>
    <xf numFmtId="0" fontId="1" fillId="21" borderId="10" xfId="0" applyFont="1" applyFill="1" applyBorder="1"/>
    <xf numFmtId="187" fontId="2" fillId="21" borderId="10" xfId="0" applyNumberFormat="1" applyFont="1" applyFill="1" applyBorder="1"/>
    <xf numFmtId="189" fontId="4" fillId="21" borderId="11" xfId="0" applyNumberFormat="1" applyFont="1" applyFill="1" applyBorder="1"/>
    <xf numFmtId="188" fontId="4" fillId="21" borderId="11" xfId="0" applyNumberFormat="1" applyFont="1" applyFill="1" applyBorder="1"/>
    <xf numFmtId="187" fontId="2" fillId="23" borderId="9" xfId="0" applyNumberFormat="1" applyFont="1" applyFill="1" applyBorder="1"/>
    <xf numFmtId="0" fontId="2" fillId="23" borderId="10" xfId="0" applyFont="1" applyFill="1" applyBorder="1"/>
    <xf numFmtId="187" fontId="14" fillId="23" borderId="10" xfId="0" applyNumberFormat="1" applyFont="1" applyFill="1" applyBorder="1"/>
    <xf numFmtId="0" fontId="2" fillId="23" borderId="11" xfId="0" applyFont="1" applyFill="1" applyBorder="1"/>
    <xf numFmtId="189" fontId="4" fillId="23" borderId="11" xfId="0" applyNumberFormat="1" applyFont="1" applyFill="1" applyBorder="1"/>
    <xf numFmtId="188" fontId="4" fillId="23" borderId="11" xfId="0" applyNumberFormat="1" applyFont="1" applyFill="1" applyBorder="1"/>
    <xf numFmtId="0" fontId="4" fillId="0" borderId="10" xfId="0" quotePrefix="1" applyFont="1" applyBorder="1"/>
    <xf numFmtId="187" fontId="2" fillId="23" borderId="10" xfId="0" applyNumberFormat="1" applyFont="1" applyFill="1" applyBorder="1"/>
    <xf numFmtId="187" fontId="8" fillId="23" borderId="10" xfId="0" applyNumberFormat="1" applyFont="1" applyFill="1" applyBorder="1"/>
    <xf numFmtId="0" fontId="27" fillId="21" borderId="10" xfId="0" quotePrefix="1" applyFont="1" applyFill="1" applyBorder="1"/>
    <xf numFmtId="0" fontId="8" fillId="0" borderId="10" xfId="0" quotePrefix="1" applyFont="1" applyBorder="1"/>
    <xf numFmtId="0" fontId="8" fillId="0" borderId="10" xfId="0" applyFont="1" applyBorder="1"/>
    <xf numFmtId="189" fontId="6" fillId="21" borderId="11" xfId="0" applyNumberFormat="1" applyFont="1" applyFill="1" applyBorder="1"/>
    <xf numFmtId="188" fontId="6" fillId="21" borderId="11" xfId="0" applyNumberFormat="1" applyFont="1" applyFill="1" applyBorder="1"/>
    <xf numFmtId="0" fontId="1" fillId="23" borderId="10" xfId="0" applyFont="1" applyFill="1" applyBorder="1"/>
    <xf numFmtId="189" fontId="6" fillId="23" borderId="11" xfId="0" applyNumberFormat="1" applyFont="1" applyFill="1" applyBorder="1"/>
    <xf numFmtId="188" fontId="6" fillId="23" borderId="11" xfId="0" applyNumberFormat="1" applyFont="1" applyFill="1" applyBorder="1"/>
    <xf numFmtId="0" fontId="5" fillId="2" borderId="13" xfId="0" quotePrefix="1" applyFont="1" applyFill="1" applyBorder="1"/>
    <xf numFmtId="188" fontId="6" fillId="10" borderId="14" xfId="0" applyNumberFormat="1" applyFont="1" applyFill="1" applyBorder="1"/>
    <xf numFmtId="189" fontId="4" fillId="0" borderId="14" xfId="0" applyNumberFormat="1" applyFont="1" applyBorder="1"/>
    <xf numFmtId="188" fontId="4" fillId="0" borderId="14" xfId="0" applyNumberFormat="1" applyFont="1" applyBorder="1"/>
    <xf numFmtId="187" fontId="2" fillId="2" borderId="10" xfId="0" applyNumberFormat="1" applyFont="1" applyFill="1" applyBorder="1"/>
    <xf numFmtId="188" fontId="4" fillId="10" borderId="11" xfId="0" applyNumberFormat="1" applyFont="1" applyFill="1" applyBorder="1"/>
    <xf numFmtId="187" fontId="2" fillId="2" borderId="9" xfId="0" applyNumberFormat="1" applyFont="1" applyFill="1" applyBorder="1"/>
    <xf numFmtId="0" fontId="2" fillId="2" borderId="0" xfId="0" applyFont="1" applyFill="1"/>
    <xf numFmtId="0" fontId="2" fillId="0" borderId="13" xfId="0" applyFont="1" applyBorder="1"/>
    <xf numFmtId="0" fontId="2" fillId="0" borderId="14" xfId="0" applyFont="1" applyBorder="1"/>
    <xf numFmtId="0" fontId="14" fillId="0" borderId="14" xfId="0" applyFont="1" applyBorder="1"/>
    <xf numFmtId="0" fontId="2" fillId="23" borderId="13" xfId="0" applyFont="1" applyFill="1" applyBorder="1"/>
    <xf numFmtId="187" fontId="1" fillId="2" borderId="10" xfId="0" applyNumberFormat="1" applyFont="1" applyFill="1" applyBorder="1"/>
    <xf numFmtId="0" fontId="15" fillId="23" borderId="10" xfId="0" applyFont="1" applyFill="1" applyBorder="1"/>
    <xf numFmtId="189" fontId="26" fillId="23" borderId="11" xfId="0" applyNumberFormat="1" applyFont="1" applyFill="1" applyBorder="1"/>
    <xf numFmtId="188" fontId="26" fillId="23" borderId="11" xfId="0" applyNumberFormat="1" applyFont="1" applyFill="1" applyBorder="1"/>
    <xf numFmtId="190" fontId="7" fillId="2" borderId="12" xfId="0" applyNumberFormat="1" applyFont="1" applyFill="1" applyBorder="1"/>
    <xf numFmtId="0" fontId="7" fillId="2" borderId="13" xfId="0" applyFont="1" applyFill="1" applyBorder="1"/>
    <xf numFmtId="0" fontId="15" fillId="2" borderId="13" xfId="0" applyFont="1" applyFill="1" applyBorder="1"/>
    <xf numFmtId="0" fontId="27" fillId="2" borderId="13" xfId="0" applyFont="1" applyFill="1" applyBorder="1"/>
    <xf numFmtId="0" fontId="7" fillId="2" borderId="14" xfId="0" applyFont="1" applyFill="1" applyBorder="1"/>
    <xf numFmtId="189" fontId="9" fillId="0" borderId="14" xfId="0" applyNumberFormat="1" applyFont="1" applyBorder="1"/>
    <xf numFmtId="188" fontId="9" fillId="0" borderId="14" xfId="0" applyNumberFormat="1" applyFont="1" applyBorder="1"/>
    <xf numFmtId="188" fontId="26" fillId="2" borderId="14" xfId="0" applyNumberFormat="1" applyFont="1" applyFill="1" applyBorder="1"/>
    <xf numFmtId="188" fontId="9" fillId="2" borderId="14" xfId="0" applyNumberFormat="1" applyFont="1" applyFill="1" applyBorder="1"/>
    <xf numFmtId="187" fontId="7" fillId="2" borderId="10" xfId="0" applyNumberFormat="1" applyFont="1" applyFill="1" applyBorder="1"/>
    <xf numFmtId="187" fontId="7" fillId="2" borderId="9" xfId="0" applyNumberFormat="1" applyFont="1" applyFill="1" applyBorder="1"/>
    <xf numFmtId="187" fontId="15" fillId="2" borderId="10" xfId="0" applyNumberFormat="1" applyFont="1" applyFill="1" applyBorder="1"/>
    <xf numFmtId="0" fontId="7" fillId="2" borderId="0" xfId="0" applyFont="1" applyFill="1"/>
    <xf numFmtId="187" fontId="7" fillId="0" borderId="9" xfId="0" applyNumberFormat="1" applyFont="1" applyBorder="1"/>
    <xf numFmtId="187" fontId="7" fillId="0" borderId="10" xfId="0" applyNumberFormat="1" applyFont="1" applyBorder="1"/>
    <xf numFmtId="0" fontId="7" fillId="21" borderId="10" xfId="0" applyFont="1" applyFill="1" applyBorder="1"/>
    <xf numFmtId="0" fontId="7" fillId="21" borderId="11" xfId="0" applyFont="1" applyFill="1" applyBorder="1"/>
    <xf numFmtId="0" fontId="9" fillId="0" borderId="11" xfId="0" applyFont="1" applyBorder="1"/>
    <xf numFmtId="0" fontId="7" fillId="0" borderId="10" xfId="0" applyFont="1" applyBorder="1"/>
    <xf numFmtId="0" fontId="7" fillId="0" borderId="11" xfId="0" applyFont="1" applyBorder="1"/>
    <xf numFmtId="187" fontId="8" fillId="0" borderId="10" xfId="0" quotePrefix="1" applyNumberFormat="1" applyFont="1" applyBorder="1"/>
    <xf numFmtId="190" fontId="29" fillId="2" borderId="9" xfId="0" applyNumberFormat="1" applyFont="1" applyFill="1" applyBorder="1"/>
    <xf numFmtId="187" fontId="29" fillId="2" borderId="10" xfId="0" applyNumberFormat="1" applyFont="1" applyFill="1" applyBorder="1"/>
    <xf numFmtId="0" fontId="29" fillId="2" borderId="10" xfId="0" applyFont="1" applyFill="1" applyBorder="1"/>
    <xf numFmtId="0" fontId="35" fillId="2" borderId="10" xfId="0" applyFont="1" applyFill="1" applyBorder="1"/>
    <xf numFmtId="0" fontId="29" fillId="2" borderId="11" xfId="0" applyFont="1" applyFill="1" applyBorder="1"/>
    <xf numFmtId="189" fontId="32" fillId="0" borderId="11" xfId="0" applyNumberFormat="1" applyFont="1" applyBorder="1"/>
    <xf numFmtId="188" fontId="32" fillId="0" borderId="11" xfId="0" applyNumberFormat="1" applyFont="1" applyBorder="1"/>
    <xf numFmtId="188" fontId="32" fillId="2" borderId="11" xfId="0" applyNumberFormat="1" applyFont="1" applyFill="1" applyBorder="1"/>
    <xf numFmtId="188" fontId="32" fillId="10" borderId="11" xfId="0" applyNumberFormat="1" applyFont="1" applyFill="1" applyBorder="1"/>
    <xf numFmtId="0" fontId="29" fillId="0" borderId="0" xfId="0" applyFont="1"/>
    <xf numFmtId="187" fontId="29" fillId="2" borderId="9" xfId="0" applyNumberFormat="1" applyFont="1" applyFill="1" applyBorder="1"/>
    <xf numFmtId="187" fontId="30" fillId="2" borderId="10" xfId="0" applyNumberFormat="1" applyFont="1" applyFill="1" applyBorder="1"/>
    <xf numFmtId="189" fontId="32" fillId="2" borderId="11" xfId="0" applyNumberFormat="1" applyFont="1" applyFill="1" applyBorder="1"/>
    <xf numFmtId="0" fontId="29" fillId="2" borderId="0" xfId="0" applyFont="1" applyFill="1"/>
    <xf numFmtId="187" fontId="14" fillId="0" borderId="10" xfId="0" quotePrefix="1" applyNumberFormat="1" applyFont="1" applyBorder="1"/>
    <xf numFmtId="0" fontId="17" fillId="0" borderId="10" xfId="0" quotePrefix="1" applyFont="1" applyBorder="1"/>
    <xf numFmtId="187" fontId="2" fillId="0" borderId="5" xfId="0" applyNumberFormat="1" applyFont="1" applyBorder="1"/>
    <xf numFmtId="187" fontId="2" fillId="0" borderId="1" xfId="0" applyNumberFormat="1" applyFont="1" applyBorder="1"/>
    <xf numFmtId="0" fontId="8" fillId="0" borderId="1" xfId="0" quotePrefix="1" applyFont="1" applyBorder="1"/>
    <xf numFmtId="0" fontId="2" fillId="0" borderId="1" xfId="0" applyFont="1" applyBorder="1"/>
    <xf numFmtId="0" fontId="2" fillId="0" borderId="4" xfId="0" applyFont="1" applyBorder="1"/>
    <xf numFmtId="189" fontId="4" fillId="2" borderId="4" xfId="0" applyNumberFormat="1" applyFont="1" applyFill="1" applyBorder="1"/>
    <xf numFmtId="188" fontId="4" fillId="0" borderId="4" xfId="0" applyNumberFormat="1" applyFont="1" applyBorder="1"/>
    <xf numFmtId="187" fontId="39" fillId="24" borderId="5" xfId="0" applyNumberFormat="1" applyFont="1" applyFill="1" applyBorder="1"/>
    <xf numFmtId="187" fontId="2" fillId="24" borderId="1" xfId="0" applyNumberFormat="1" applyFont="1" applyFill="1" applyBorder="1"/>
    <xf numFmtId="0" fontId="2" fillId="24" borderId="1" xfId="0" applyFont="1" applyFill="1" applyBorder="1"/>
    <xf numFmtId="0" fontId="2" fillId="24" borderId="4" xfId="0" applyFont="1" applyFill="1" applyBorder="1"/>
    <xf numFmtId="0" fontId="4" fillId="24" borderId="4" xfId="0" applyFont="1" applyFill="1" applyBorder="1"/>
    <xf numFmtId="189" fontId="4" fillId="24" borderId="4" xfId="0" applyNumberFormat="1" applyFont="1" applyFill="1" applyBorder="1"/>
    <xf numFmtId="188" fontId="4" fillId="24" borderId="4" xfId="0" applyNumberFormat="1" applyFont="1" applyFill="1" applyBorder="1"/>
    <xf numFmtId="187" fontId="1" fillId="25" borderId="9" xfId="0" applyNumberFormat="1" applyFont="1" applyFill="1" applyBorder="1"/>
    <xf numFmtId="0" fontId="2" fillId="25" borderId="10" xfId="0" applyFont="1" applyFill="1" applyBorder="1"/>
    <xf numFmtId="187" fontId="2" fillId="25" borderId="10" xfId="0" applyNumberFormat="1" applyFont="1" applyFill="1" applyBorder="1"/>
    <xf numFmtId="0" fontId="4" fillId="25" borderId="10" xfId="0" applyFont="1" applyFill="1" applyBorder="1"/>
    <xf numFmtId="189" fontId="4" fillId="25" borderId="10" xfId="0" applyNumberFormat="1" applyFont="1" applyFill="1" applyBorder="1"/>
    <xf numFmtId="189" fontId="4" fillId="25" borderId="11" xfId="0" applyNumberFormat="1" applyFont="1" applyFill="1" applyBorder="1"/>
    <xf numFmtId="188" fontId="4" fillId="25" borderId="11" xfId="0" applyNumberFormat="1" applyFont="1" applyFill="1" applyBorder="1"/>
    <xf numFmtId="190" fontId="2" fillId="26" borderId="9" xfId="0" applyNumberFormat="1" applyFont="1" applyFill="1" applyBorder="1"/>
    <xf numFmtId="0" fontId="1" fillId="26" borderId="10" xfId="0" applyFont="1" applyFill="1" applyBorder="1"/>
    <xf numFmtId="0" fontId="2" fillId="26" borderId="10" xfId="0" applyFont="1" applyFill="1" applyBorder="1"/>
    <xf numFmtId="187" fontId="2" fillId="26" borderId="10" xfId="0" applyNumberFormat="1" applyFont="1" applyFill="1" applyBorder="1"/>
    <xf numFmtId="0" fontId="2" fillId="26" borderId="11" xfId="0" applyFont="1" applyFill="1" applyBorder="1"/>
    <xf numFmtId="189" fontId="6" fillId="26" borderId="11" xfId="0" applyNumberFormat="1" applyFont="1" applyFill="1" applyBorder="1"/>
    <xf numFmtId="188" fontId="6" fillId="26" borderId="11" xfId="0" applyNumberFormat="1" applyFont="1" applyFill="1" applyBorder="1"/>
    <xf numFmtId="188" fontId="4" fillId="26" borderId="11" xfId="0" applyNumberFormat="1" applyFont="1" applyFill="1" applyBorder="1"/>
    <xf numFmtId="188" fontId="6" fillId="0" borderId="11" xfId="0" applyNumberFormat="1" applyFont="1" applyBorder="1"/>
    <xf numFmtId="0" fontId="40" fillId="0" borderId="10" xfId="0" applyFont="1" applyBorder="1"/>
    <xf numFmtId="0" fontId="6" fillId="0" borderId="10" xfId="0" applyFont="1" applyBorder="1"/>
    <xf numFmtId="187" fontId="2" fillId="0" borderId="12" xfId="0" applyNumberFormat="1" applyFont="1" applyBorder="1"/>
    <xf numFmtId="187" fontId="2" fillId="0" borderId="13" xfId="0" applyNumberFormat="1" applyFont="1" applyBorder="1"/>
    <xf numFmtId="0" fontId="40" fillId="0" borderId="13" xfId="0" applyFont="1" applyBorder="1"/>
    <xf numFmtId="0" fontId="6" fillId="0" borderId="13" xfId="0" applyFont="1" applyBorder="1"/>
    <xf numFmtId="0" fontId="4" fillId="0" borderId="1" xfId="0" applyFont="1" applyBorder="1"/>
    <xf numFmtId="189" fontId="4" fillId="0" borderId="4" xfId="0" applyNumberFormat="1" applyFont="1" applyBorder="1"/>
    <xf numFmtId="189" fontId="4" fillId="10" borderId="4" xfId="0" applyNumberFormat="1" applyFont="1" applyFill="1" applyBorder="1"/>
    <xf numFmtId="187" fontId="1" fillId="27" borderId="5" xfId="0" applyNumberFormat="1" applyFont="1" applyFill="1" applyBorder="1"/>
    <xf numFmtId="187" fontId="2" fillId="27" borderId="1" xfId="0" applyNumberFormat="1" applyFont="1" applyFill="1" applyBorder="1"/>
    <xf numFmtId="0" fontId="2" fillId="27" borderId="1" xfId="0" applyFont="1" applyFill="1" applyBorder="1"/>
    <xf numFmtId="0" fontId="2" fillId="27" borderId="4" xfId="0" applyFont="1" applyFill="1" applyBorder="1"/>
    <xf numFmtId="0" fontId="4" fillId="27" borderId="4" xfId="0" applyFont="1" applyFill="1" applyBorder="1"/>
    <xf numFmtId="189" fontId="4" fillId="27" borderId="4" xfId="0" applyNumberFormat="1" applyFont="1" applyFill="1" applyBorder="1"/>
    <xf numFmtId="188" fontId="4" fillId="27" borderId="4" xfId="0" applyNumberFormat="1" applyFont="1" applyFill="1" applyBorder="1"/>
    <xf numFmtId="187" fontId="1" fillId="28" borderId="9" xfId="0" applyNumberFormat="1" applyFont="1" applyFill="1" applyBorder="1"/>
    <xf numFmtId="187" fontId="2" fillId="28" borderId="10" xfId="0" applyNumberFormat="1" applyFont="1" applyFill="1" applyBorder="1"/>
    <xf numFmtId="0" fontId="2" fillId="28" borderId="10" xfId="0" applyFont="1" applyFill="1" applyBorder="1"/>
    <xf numFmtId="0" fontId="2" fillId="28" borderId="11" xfId="0" applyFont="1" applyFill="1" applyBorder="1"/>
    <xf numFmtId="0" fontId="4" fillId="28" borderId="11" xfId="0" applyFont="1" applyFill="1" applyBorder="1"/>
    <xf numFmtId="189" fontId="4" fillId="28" borderId="11" xfId="0" applyNumberFormat="1" applyFont="1" applyFill="1" applyBorder="1"/>
    <xf numFmtId="188" fontId="4" fillId="28" borderId="11" xfId="0" applyNumberFormat="1" applyFont="1" applyFill="1" applyBorder="1"/>
    <xf numFmtId="187" fontId="2" fillId="29" borderId="9" xfId="0" applyNumberFormat="1" applyFont="1" applyFill="1" applyBorder="1"/>
    <xf numFmtId="0" fontId="1" fillId="29" borderId="10" xfId="0" applyFont="1" applyFill="1" applyBorder="1"/>
    <xf numFmtId="0" fontId="2" fillId="29" borderId="10" xfId="0" applyFont="1" applyFill="1" applyBorder="1"/>
    <xf numFmtId="0" fontId="2" fillId="29" borderId="11" xfId="0" applyFont="1" applyFill="1" applyBorder="1"/>
    <xf numFmtId="189" fontId="6" fillId="29" borderId="11" xfId="0" applyNumberFormat="1" applyFont="1" applyFill="1" applyBorder="1"/>
    <xf numFmtId="188" fontId="6" fillId="29" borderId="11" xfId="0" applyNumberFormat="1" applyFont="1" applyFill="1" applyBorder="1"/>
    <xf numFmtId="188" fontId="4" fillId="29" borderId="11" xfId="0" applyNumberFormat="1" applyFont="1" applyFill="1" applyBorder="1"/>
    <xf numFmtId="0" fontId="4" fillId="28" borderId="10" xfId="0" applyFont="1" applyFill="1" applyBorder="1"/>
    <xf numFmtId="190" fontId="2" fillId="29" borderId="9" xfId="0" applyNumberFormat="1" applyFont="1" applyFill="1" applyBorder="1"/>
    <xf numFmtId="190" fontId="2" fillId="29" borderId="10" xfId="0" applyNumberFormat="1" applyFont="1" applyFill="1" applyBorder="1"/>
    <xf numFmtId="187" fontId="2" fillId="29" borderId="10" xfId="0" applyNumberFormat="1" applyFont="1" applyFill="1" applyBorder="1"/>
    <xf numFmtId="189" fontId="4" fillId="29" borderId="11" xfId="0" applyNumberFormat="1" applyFont="1" applyFill="1" applyBorder="1"/>
    <xf numFmtId="0" fontId="5" fillId="23" borderId="10" xfId="0" applyFont="1" applyFill="1" applyBorder="1"/>
    <xf numFmtId="0" fontId="4" fillId="23" borderId="11" xfId="0" applyFont="1" applyFill="1" applyBorder="1"/>
    <xf numFmtId="187" fontId="2" fillId="8" borderId="9" xfId="0" applyNumberFormat="1" applyFont="1" applyFill="1" applyBorder="1"/>
    <xf numFmtId="187" fontId="2" fillId="8" borderId="10" xfId="0" applyNumberFormat="1" applyFont="1" applyFill="1" applyBorder="1"/>
    <xf numFmtId="0" fontId="15" fillId="8" borderId="10" xfId="0" applyFont="1" applyFill="1" applyBorder="1"/>
    <xf numFmtId="0" fontId="5" fillId="8" borderId="10" xfId="0" applyFont="1" applyFill="1" applyBorder="1"/>
    <xf numFmtId="0" fontId="2" fillId="8" borderId="10" xfId="0" applyFont="1" applyFill="1" applyBorder="1"/>
    <xf numFmtId="0" fontId="2" fillId="8" borderId="11" xfId="0" applyFont="1" applyFill="1" applyBorder="1"/>
    <xf numFmtId="189" fontId="6" fillId="8" borderId="11" xfId="0" applyNumberFormat="1" applyFont="1" applyFill="1" applyBorder="1"/>
    <xf numFmtId="188" fontId="6" fillId="8" borderId="11" xfId="0" applyNumberFormat="1" applyFont="1" applyFill="1" applyBorder="1"/>
    <xf numFmtId="188" fontId="4" fillId="8" borderId="11" xfId="0" applyNumberFormat="1" applyFont="1" applyFill="1" applyBorder="1"/>
    <xf numFmtId="0" fontId="18" fillId="8" borderId="10" xfId="0" applyFont="1" applyFill="1" applyBorder="1"/>
    <xf numFmtId="0" fontId="4" fillId="8" borderId="11" xfId="0" applyFont="1" applyFill="1" applyBorder="1"/>
    <xf numFmtId="189" fontId="4" fillId="8" borderId="11" xfId="0" applyNumberFormat="1" applyFont="1" applyFill="1" applyBorder="1"/>
    <xf numFmtId="187" fontId="43" fillId="0" borderId="9" xfId="0" applyNumberFormat="1" applyFont="1" applyBorder="1"/>
    <xf numFmtId="187" fontId="44" fillId="8" borderId="9" xfId="0" applyNumberFormat="1" applyFont="1" applyFill="1" applyBorder="1"/>
    <xf numFmtId="187" fontId="44" fillId="8" borderId="10" xfId="0" applyNumberFormat="1" applyFont="1" applyFill="1" applyBorder="1"/>
    <xf numFmtId="0" fontId="45" fillId="8" borderId="10" xfId="0" applyFont="1" applyFill="1" applyBorder="1"/>
    <xf numFmtId="0" fontId="46" fillId="8" borderId="10" xfId="0" applyFont="1" applyFill="1" applyBorder="1"/>
    <xf numFmtId="0" fontId="44" fillId="8" borderId="10" xfId="0" applyFont="1" applyFill="1" applyBorder="1"/>
    <xf numFmtId="0" fontId="44" fillId="8" borderId="11" xfId="0" applyFont="1" applyFill="1" applyBorder="1"/>
    <xf numFmtId="189" fontId="47" fillId="8" borderId="11" xfId="0" applyNumberFormat="1" applyFont="1" applyFill="1" applyBorder="1"/>
    <xf numFmtId="188" fontId="47" fillId="8" borderId="11" xfId="0" applyNumberFormat="1" applyFont="1" applyFill="1" applyBorder="1"/>
    <xf numFmtId="188" fontId="48" fillId="8" borderId="11" xfId="0" applyNumberFormat="1" applyFont="1" applyFill="1" applyBorder="1"/>
    <xf numFmtId="187" fontId="44" fillId="30" borderId="9" xfId="0" applyNumberFormat="1" applyFont="1" applyFill="1" applyBorder="1"/>
    <xf numFmtId="187" fontId="44" fillId="30" borderId="10" xfId="0" applyNumberFormat="1" applyFont="1" applyFill="1" applyBorder="1"/>
    <xf numFmtId="0" fontId="45" fillId="30" borderId="10" xfId="0" applyFont="1" applyFill="1" applyBorder="1"/>
    <xf numFmtId="0" fontId="44" fillId="30" borderId="10" xfId="0" applyFont="1" applyFill="1" applyBorder="1"/>
    <xf numFmtId="0" fontId="44" fillId="30" borderId="11" xfId="0" applyFont="1" applyFill="1" applyBorder="1"/>
    <xf numFmtId="189" fontId="47" fillId="30" borderId="11" xfId="0" applyNumberFormat="1" applyFont="1" applyFill="1" applyBorder="1"/>
    <xf numFmtId="188" fontId="47" fillId="30" borderId="11" xfId="0" applyNumberFormat="1" applyFont="1" applyFill="1" applyBorder="1"/>
    <xf numFmtId="188" fontId="48" fillId="30" borderId="11" xfId="0" applyNumberFormat="1" applyFont="1" applyFill="1" applyBorder="1"/>
    <xf numFmtId="0" fontId="50" fillId="30" borderId="10" xfId="0" applyFont="1" applyFill="1" applyBorder="1"/>
    <xf numFmtId="0" fontId="48" fillId="30" borderId="11" xfId="0" applyFont="1" applyFill="1" applyBorder="1"/>
    <xf numFmtId="189" fontId="48" fillId="30" borderId="11" xfId="0" applyNumberFormat="1" applyFont="1" applyFill="1" applyBorder="1"/>
    <xf numFmtId="41" fontId="47" fillId="30" borderId="11" xfId="0" applyNumberFormat="1" applyFont="1" applyFill="1" applyBorder="1"/>
    <xf numFmtId="187" fontId="2" fillId="23" borderId="12" xfId="0" applyNumberFormat="1" applyFont="1" applyFill="1" applyBorder="1"/>
    <xf numFmtId="187" fontId="2" fillId="23" borderId="13" xfId="0" applyNumberFormat="1" applyFont="1" applyFill="1" applyBorder="1"/>
    <xf numFmtId="0" fontId="5" fillId="23" borderId="13" xfId="0" applyFont="1" applyFill="1" applyBorder="1"/>
    <xf numFmtId="0" fontId="2" fillId="23" borderId="14" xfId="0" applyFont="1" applyFill="1" applyBorder="1"/>
    <xf numFmtId="0" fontId="14" fillId="0" borderId="1" xfId="0" applyFont="1" applyBorder="1"/>
    <xf numFmtId="188" fontId="4" fillId="2" borderId="4" xfId="0" applyNumberFormat="1" applyFont="1" applyFill="1" applyBorder="1"/>
    <xf numFmtId="187" fontId="1" fillId="31" borderId="5" xfId="0" applyNumberFormat="1" applyFont="1" applyFill="1" applyBorder="1"/>
    <xf numFmtId="187" fontId="2" fillId="31" borderId="1" xfId="0" applyNumberFormat="1" applyFont="1" applyFill="1" applyBorder="1"/>
    <xf numFmtId="0" fontId="2" fillId="31" borderId="1" xfId="0" applyFont="1" applyFill="1" applyBorder="1"/>
    <xf numFmtId="0" fontId="2" fillId="31" borderId="4" xfId="0" applyFont="1" applyFill="1" applyBorder="1"/>
    <xf numFmtId="0" fontId="4" fillId="31" borderId="4" xfId="0" applyFont="1" applyFill="1" applyBorder="1"/>
    <xf numFmtId="189" fontId="4" fillId="31" borderId="4" xfId="0" applyNumberFormat="1" applyFont="1" applyFill="1" applyBorder="1"/>
    <xf numFmtId="188" fontId="4" fillId="31" borderId="4" xfId="0" applyNumberFormat="1" applyFont="1" applyFill="1" applyBorder="1"/>
    <xf numFmtId="187" fontId="1" fillId="32" borderId="9" xfId="0" applyNumberFormat="1" applyFont="1" applyFill="1" applyBorder="1"/>
    <xf numFmtId="187" fontId="2" fillId="32" borderId="10" xfId="0" applyNumberFormat="1" applyFont="1" applyFill="1" applyBorder="1"/>
    <xf numFmtId="0" fontId="2" fillId="32" borderId="10" xfId="0" applyFont="1" applyFill="1" applyBorder="1"/>
    <xf numFmtId="0" fontId="4" fillId="32" borderId="11" xfId="0" applyFont="1" applyFill="1" applyBorder="1"/>
    <xf numFmtId="189" fontId="4" fillId="32" borderId="11" xfId="0" applyNumberFormat="1" applyFont="1" applyFill="1" applyBorder="1"/>
    <xf numFmtId="188" fontId="4" fillId="32" borderId="11" xfId="0" applyNumberFormat="1" applyFont="1" applyFill="1" applyBorder="1"/>
    <xf numFmtId="187" fontId="2" fillId="33" borderId="9" xfId="0" applyNumberFormat="1" applyFont="1" applyFill="1" applyBorder="1"/>
    <xf numFmtId="0" fontId="1" fillId="33" borderId="10" xfId="0" applyFont="1" applyFill="1" applyBorder="1"/>
    <xf numFmtId="187" fontId="2" fillId="33" borderId="10" xfId="0" applyNumberFormat="1" applyFont="1" applyFill="1" applyBorder="1"/>
    <xf numFmtId="0" fontId="2" fillId="33" borderId="10" xfId="0" applyFont="1" applyFill="1" applyBorder="1"/>
    <xf numFmtId="0" fontId="2" fillId="33" borderId="11" xfId="0" applyFont="1" applyFill="1" applyBorder="1"/>
    <xf numFmtId="189" fontId="6" fillId="33" borderId="11" xfId="0" applyNumberFormat="1" applyFont="1" applyFill="1" applyBorder="1"/>
    <xf numFmtId="188" fontId="6" fillId="33" borderId="11" xfId="0" applyNumberFormat="1" applyFont="1" applyFill="1" applyBorder="1"/>
    <xf numFmtId="188" fontId="4" fillId="33" borderId="11" xfId="0" applyNumberFormat="1" applyFont="1" applyFill="1" applyBorder="1"/>
    <xf numFmtId="187" fontId="2" fillId="2" borderId="12" xfId="0" applyNumberFormat="1" applyFont="1" applyFill="1" applyBorder="1"/>
    <xf numFmtId="187" fontId="2" fillId="2" borderId="13" xfId="0" applyNumberFormat="1" applyFont="1" applyFill="1" applyBorder="1"/>
    <xf numFmtId="188" fontId="2" fillId="2" borderId="14" xfId="0" applyNumberFormat="1" applyFont="1" applyFill="1" applyBorder="1"/>
    <xf numFmtId="0" fontId="5" fillId="21" borderId="0" xfId="0" quotePrefix="1" applyFont="1" applyFill="1"/>
    <xf numFmtId="0" fontId="2" fillId="21" borderId="0" xfId="0" applyFont="1" applyFill="1"/>
    <xf numFmtId="0" fontId="2" fillId="21" borderId="3" xfId="0" applyFont="1" applyFill="1" applyBorder="1"/>
    <xf numFmtId="187" fontId="2" fillId="0" borderId="20" xfId="0" applyNumberFormat="1" applyFont="1" applyBorder="1"/>
    <xf numFmtId="0" fontId="2" fillId="0" borderId="21" xfId="0" applyFont="1" applyBorder="1"/>
    <xf numFmtId="0" fontId="14" fillId="0" borderId="21" xfId="0" applyFont="1" applyBorder="1"/>
    <xf numFmtId="0" fontId="2" fillId="0" borderId="22" xfId="0" applyFont="1" applyBorder="1"/>
    <xf numFmtId="189" fontId="4" fillId="2" borderId="22" xfId="0" applyNumberFormat="1" applyFont="1" applyFill="1" applyBorder="1"/>
    <xf numFmtId="189" fontId="4" fillId="10" borderId="22" xfId="0" applyNumberFormat="1" applyFont="1" applyFill="1" applyBorder="1"/>
    <xf numFmtId="188" fontId="4" fillId="2" borderId="22" xfId="0" applyNumberFormat="1" applyFont="1" applyFill="1" applyBorder="1"/>
    <xf numFmtId="188" fontId="4" fillId="0" borderId="22" xfId="0" applyNumberFormat="1" applyFont="1" applyBorder="1"/>
    <xf numFmtId="0" fontId="1" fillId="34" borderId="9" xfId="0" applyFont="1" applyFill="1" applyBorder="1"/>
    <xf numFmtId="0" fontId="2" fillId="34" borderId="10" xfId="0" applyFont="1" applyFill="1" applyBorder="1"/>
    <xf numFmtId="0" fontId="2" fillId="34" borderId="11" xfId="0" applyFont="1" applyFill="1" applyBorder="1"/>
    <xf numFmtId="0" fontId="4" fillId="34" borderId="11" xfId="0" applyFont="1" applyFill="1" applyBorder="1"/>
    <xf numFmtId="189" fontId="4" fillId="34" borderId="11" xfId="0" applyNumberFormat="1" applyFont="1" applyFill="1" applyBorder="1"/>
    <xf numFmtId="188" fontId="4" fillId="34" borderId="11" xfId="0" applyNumberFormat="1" applyFont="1" applyFill="1" applyBorder="1"/>
    <xf numFmtId="188" fontId="6" fillId="34" borderId="11" xfId="0" applyNumberFormat="1" applyFont="1" applyFill="1" applyBorder="1"/>
    <xf numFmtId="0" fontId="1" fillId="35" borderId="9" xfId="0" applyFont="1" applyFill="1" applyBorder="1"/>
    <xf numFmtId="0" fontId="2" fillId="35" borderId="10" xfId="0" applyFont="1" applyFill="1" applyBorder="1"/>
    <xf numFmtId="0" fontId="4" fillId="35" borderId="10" xfId="0" applyFont="1" applyFill="1" applyBorder="1"/>
    <xf numFmtId="189" fontId="4" fillId="35" borderId="10" xfId="0" applyNumberFormat="1" applyFont="1" applyFill="1" applyBorder="1"/>
    <xf numFmtId="188" fontId="4" fillId="35" borderId="10" xfId="0" applyNumberFormat="1" applyFont="1" applyFill="1" applyBorder="1"/>
    <xf numFmtId="188" fontId="4" fillId="35" borderId="11" xfId="0" applyNumberFormat="1" applyFont="1" applyFill="1" applyBorder="1"/>
    <xf numFmtId="0" fontId="2" fillId="35" borderId="11" xfId="0" applyFont="1" applyFill="1" applyBorder="1"/>
    <xf numFmtId="0" fontId="4" fillId="35" borderId="11" xfId="0" applyFont="1" applyFill="1" applyBorder="1"/>
    <xf numFmtId="189" fontId="4" fillId="35" borderId="11" xfId="0" applyNumberFormat="1" applyFont="1" applyFill="1" applyBorder="1"/>
    <xf numFmtId="187" fontId="1" fillId="36" borderId="10" xfId="0" applyNumberFormat="1" applyFont="1" applyFill="1" applyBorder="1"/>
    <xf numFmtId="0" fontId="2" fillId="36" borderId="10" xfId="0" applyFont="1" applyFill="1" applyBorder="1"/>
    <xf numFmtId="0" fontId="2" fillId="36" borderId="11" xfId="0" applyFont="1" applyFill="1" applyBorder="1"/>
    <xf numFmtId="189" fontId="6" fillId="36" borderId="11" xfId="0" applyNumberFormat="1" applyFont="1" applyFill="1" applyBorder="1"/>
    <xf numFmtId="188" fontId="6" fillId="36" borderId="11" xfId="0" applyNumberFormat="1" applyFont="1" applyFill="1" applyBorder="1"/>
    <xf numFmtId="188" fontId="4" fillId="36" borderId="11" xfId="0" applyNumberFormat="1" applyFont="1" applyFill="1" applyBorder="1"/>
    <xf numFmtId="0" fontId="2" fillId="36" borderId="9" xfId="0" applyFont="1" applyFill="1" applyBorder="1"/>
    <xf numFmtId="0" fontId="5" fillId="2" borderId="13" xfId="0" applyFont="1" applyFill="1" applyBorder="1"/>
    <xf numFmtId="187" fontId="4" fillId="2" borderId="9" xfId="0" applyNumberFormat="1" applyFont="1" applyFill="1" applyBorder="1"/>
    <xf numFmtId="187" fontId="4" fillId="2" borderId="10" xfId="0" applyNumberFormat="1" applyFont="1" applyFill="1" applyBorder="1"/>
    <xf numFmtId="0" fontId="4" fillId="2" borderId="10" xfId="0" applyFont="1" applyFill="1" applyBorder="1"/>
    <xf numFmtId="0" fontId="4" fillId="0" borderId="0" xfId="0" applyFont="1"/>
    <xf numFmtId="0" fontId="5" fillId="21" borderId="13" xfId="0" quotePrefix="1" applyFont="1" applyFill="1" applyBorder="1"/>
    <xf numFmtId="0" fontId="2" fillId="21" borderId="13" xfId="0" applyFont="1" applyFill="1" applyBorder="1"/>
    <xf numFmtId="0" fontId="2" fillId="21" borderId="14" xfId="0" applyFont="1" applyFill="1" applyBorder="1"/>
    <xf numFmtId="0" fontId="4" fillId="0" borderId="14" xfId="0" applyFont="1" applyBorder="1"/>
    <xf numFmtId="0" fontId="6" fillId="36" borderId="13" xfId="0" applyFont="1" applyFill="1" applyBorder="1"/>
    <xf numFmtId="0" fontId="4" fillId="36" borderId="13" xfId="0" applyFont="1" applyFill="1" applyBorder="1"/>
    <xf numFmtId="0" fontId="4" fillId="36" borderId="14" xfId="0" applyFont="1" applyFill="1" applyBorder="1"/>
    <xf numFmtId="189" fontId="6" fillId="36" borderId="14" xfId="0" applyNumberFormat="1" applyFont="1" applyFill="1" applyBorder="1"/>
    <xf numFmtId="188" fontId="6" fillId="36" borderId="14" xfId="0" applyNumberFormat="1" applyFont="1" applyFill="1" applyBorder="1"/>
    <xf numFmtId="188" fontId="4" fillId="36" borderId="14" xfId="0" applyNumberFormat="1" applyFont="1" applyFill="1" applyBorder="1"/>
    <xf numFmtId="0" fontId="4" fillId="36" borderId="9" xfId="0" applyFont="1" applyFill="1" applyBorder="1"/>
    <xf numFmtId="187" fontId="4" fillId="36" borderId="10" xfId="0" applyNumberFormat="1" applyFont="1" applyFill="1" applyBorder="1"/>
    <xf numFmtId="0" fontId="4" fillId="36" borderId="10" xfId="0" applyFont="1" applyFill="1" applyBorder="1"/>
    <xf numFmtId="0" fontId="4" fillId="36" borderId="11" xfId="0" applyFont="1" applyFill="1" applyBorder="1"/>
    <xf numFmtId="190" fontId="4" fillId="2" borderId="9" xfId="0" applyNumberFormat="1" applyFont="1" applyFill="1" applyBorder="1"/>
    <xf numFmtId="0" fontId="55" fillId="2" borderId="10" xfId="0" applyFont="1" applyFill="1" applyBorder="1"/>
    <xf numFmtId="190" fontId="9" fillId="2" borderId="9" xfId="0" applyNumberFormat="1" applyFont="1" applyFill="1" applyBorder="1"/>
    <xf numFmtId="0" fontId="9" fillId="2" borderId="10" xfId="0" applyFont="1" applyFill="1" applyBorder="1"/>
    <xf numFmtId="0" fontId="9" fillId="0" borderId="10" xfId="0" applyFont="1" applyBorder="1"/>
    <xf numFmtId="0" fontId="9" fillId="2" borderId="11" xfId="0" applyFont="1" applyFill="1" applyBorder="1"/>
    <xf numFmtId="0" fontId="9" fillId="0" borderId="0" xfId="0" applyFont="1"/>
    <xf numFmtId="187" fontId="9" fillId="2" borderId="10" xfId="0" applyNumberFormat="1" applyFont="1" applyFill="1" applyBorder="1"/>
    <xf numFmtId="0" fontId="56" fillId="2" borderId="10" xfId="0" applyFont="1" applyFill="1" applyBorder="1"/>
    <xf numFmtId="187" fontId="4" fillId="0" borderId="9" xfId="0" applyNumberFormat="1" applyFont="1" applyBorder="1"/>
    <xf numFmtId="187" fontId="4" fillId="0" borderId="10" xfId="0" applyNumberFormat="1" applyFont="1" applyBorder="1"/>
    <xf numFmtId="187" fontId="55" fillId="21" borderId="10" xfId="0" applyNumberFormat="1" applyFont="1" applyFill="1" applyBorder="1"/>
    <xf numFmtId="187" fontId="4" fillId="21" borderId="10" xfId="0" applyNumberFormat="1" applyFont="1" applyFill="1" applyBorder="1"/>
    <xf numFmtId="0" fontId="4" fillId="21" borderId="10" xfId="0" applyFont="1" applyFill="1" applyBorder="1"/>
    <xf numFmtId="0" fontId="4" fillId="21" borderId="11" xfId="0" applyFont="1" applyFill="1" applyBorder="1"/>
    <xf numFmtId="187" fontId="9" fillId="0" borderId="9" xfId="0" applyNumberFormat="1" applyFont="1" applyBorder="1"/>
    <xf numFmtId="187" fontId="9" fillId="0" borderId="10" xfId="0" applyNumberFormat="1" applyFont="1" applyBorder="1"/>
    <xf numFmtId="0" fontId="58" fillId="2" borderId="11" xfId="0" applyFont="1" applyFill="1" applyBorder="1"/>
    <xf numFmtId="187" fontId="55" fillId="21" borderId="10" xfId="0" quotePrefix="1" applyNumberFormat="1" applyFont="1" applyFill="1" applyBorder="1"/>
    <xf numFmtId="187" fontId="6" fillId="0" borderId="10" xfId="0" applyNumberFormat="1" applyFont="1" applyBorder="1"/>
    <xf numFmtId="187" fontId="26" fillId="36" borderId="13" xfId="0" applyNumberFormat="1" applyFont="1" applyFill="1" applyBorder="1"/>
    <xf numFmtId="187" fontId="9" fillId="36" borderId="13" xfId="0" applyNumberFormat="1" applyFont="1" applyFill="1" applyBorder="1"/>
    <xf numFmtId="0" fontId="9" fillId="36" borderId="13" xfId="0" applyFont="1" applyFill="1" applyBorder="1"/>
    <xf numFmtId="0" fontId="9" fillId="36" borderId="14" xfId="0" applyFont="1" applyFill="1" applyBorder="1"/>
    <xf numFmtId="189" fontId="26" fillId="36" borderId="14" xfId="0" applyNumberFormat="1" applyFont="1" applyFill="1" applyBorder="1"/>
    <xf numFmtId="188" fontId="26" fillId="36" borderId="14" xfId="0" applyNumberFormat="1" applyFont="1" applyFill="1" applyBorder="1"/>
    <xf numFmtId="188" fontId="9" fillId="36" borderId="14" xfId="0" applyNumberFormat="1" applyFont="1" applyFill="1" applyBorder="1"/>
    <xf numFmtId="0" fontId="9" fillId="36" borderId="9" xfId="0" applyFont="1" applyFill="1" applyBorder="1"/>
    <xf numFmtId="187" fontId="9" fillId="36" borderId="10" xfId="0" applyNumberFormat="1" applyFont="1" applyFill="1" applyBorder="1"/>
    <xf numFmtId="0" fontId="9" fillId="36" borderId="10" xfId="0" applyFont="1" applyFill="1" applyBorder="1"/>
    <xf numFmtId="0" fontId="9" fillId="36" borderId="11" xfId="0" applyFont="1" applyFill="1" applyBorder="1"/>
    <xf numFmtId="189" fontId="26" fillId="36" borderId="11" xfId="0" applyNumberFormat="1" applyFont="1" applyFill="1" applyBorder="1"/>
    <xf numFmtId="188" fontId="26" fillId="36" borderId="11" xfId="0" applyNumberFormat="1" applyFont="1" applyFill="1" applyBorder="1"/>
    <xf numFmtId="188" fontId="9" fillId="36" borderId="11" xfId="0" applyNumberFormat="1" applyFont="1" applyFill="1" applyBorder="1"/>
    <xf numFmtId="0" fontId="60" fillId="2" borderId="10" xfId="0" applyFont="1" applyFill="1" applyBorder="1"/>
    <xf numFmtId="188" fontId="26" fillId="2" borderId="11" xfId="0" applyNumberFormat="1" applyFont="1" applyFill="1" applyBorder="1"/>
    <xf numFmtId="0" fontId="61" fillId="2" borderId="10" xfId="0" applyFont="1" applyFill="1" applyBorder="1"/>
    <xf numFmtId="187" fontId="9" fillId="2" borderId="9" xfId="0" applyNumberFormat="1" applyFont="1" applyFill="1" applyBorder="1"/>
    <xf numFmtId="0" fontId="60" fillId="21" borderId="10" xfId="0" quotePrefix="1" applyFont="1" applyFill="1" applyBorder="1"/>
    <xf numFmtId="0" fontId="9" fillId="21" borderId="10" xfId="0" applyFont="1" applyFill="1" applyBorder="1"/>
    <xf numFmtId="0" fontId="9" fillId="21" borderId="11" xfId="0" applyFont="1" applyFill="1" applyBorder="1"/>
    <xf numFmtId="189" fontId="26" fillId="2" borderId="11" xfId="0" applyNumberFormat="1" applyFont="1" applyFill="1" applyBorder="1"/>
    <xf numFmtId="188" fontId="26" fillId="0" borderId="11" xfId="0" applyNumberFormat="1" applyFont="1" applyBorder="1"/>
    <xf numFmtId="0" fontId="1" fillId="37" borderId="9" xfId="0" applyFont="1" applyFill="1" applyBorder="1"/>
    <xf numFmtId="187" fontId="2" fillId="37" borderId="10" xfId="0" applyNumberFormat="1" applyFont="1" applyFill="1" applyBorder="1"/>
    <xf numFmtId="0" fontId="2" fillId="37" borderId="10" xfId="0" applyFont="1" applyFill="1" applyBorder="1"/>
    <xf numFmtId="0" fontId="2" fillId="37" borderId="11" xfId="0" applyFont="1" applyFill="1" applyBorder="1"/>
    <xf numFmtId="0" fontId="4" fillId="37" borderId="11" xfId="0" applyFont="1" applyFill="1" applyBorder="1"/>
    <xf numFmtId="189" fontId="4" fillId="37" borderId="11" xfId="0" applyNumberFormat="1" applyFont="1" applyFill="1" applyBorder="1"/>
    <xf numFmtId="188" fontId="4" fillId="37" borderId="11" xfId="0" applyNumberFormat="1" applyFont="1" applyFill="1" applyBorder="1"/>
    <xf numFmtId="187" fontId="6" fillId="38" borderId="13" xfId="0" applyNumberFormat="1" applyFont="1" applyFill="1" applyBorder="1"/>
    <xf numFmtId="187" fontId="4" fillId="38" borderId="13" xfId="0" applyNumberFormat="1" applyFont="1" applyFill="1" applyBorder="1"/>
    <xf numFmtId="0" fontId="4" fillId="38" borderId="13" xfId="0" applyFont="1" applyFill="1" applyBorder="1"/>
    <xf numFmtId="0" fontId="4" fillId="38" borderId="14" xfId="0" applyFont="1" applyFill="1" applyBorder="1"/>
    <xf numFmtId="189" fontId="4" fillId="38" borderId="14" xfId="0" applyNumberFormat="1" applyFont="1" applyFill="1" applyBorder="1"/>
    <xf numFmtId="188" fontId="4" fillId="38" borderId="14" xfId="0" applyNumberFormat="1" applyFont="1" applyFill="1" applyBorder="1"/>
    <xf numFmtId="190" fontId="4" fillId="39" borderId="9" xfId="0" applyNumberFormat="1" applyFont="1" applyFill="1" applyBorder="1"/>
    <xf numFmtId="0" fontId="6" fillId="39" borderId="10" xfId="0" applyFont="1" applyFill="1" applyBorder="1"/>
    <xf numFmtId="0" fontId="4" fillId="39" borderId="10" xfId="0" applyFont="1" applyFill="1" applyBorder="1"/>
    <xf numFmtId="0" fontId="4" fillId="39" borderId="11" xfId="0" applyFont="1" applyFill="1" applyBorder="1"/>
    <xf numFmtId="189" fontId="6" fillId="39" borderId="11" xfId="0" applyNumberFormat="1" applyFont="1" applyFill="1" applyBorder="1"/>
    <xf numFmtId="188" fontId="6" fillId="39" borderId="11" xfId="0" applyNumberFormat="1" applyFont="1" applyFill="1" applyBorder="1"/>
    <xf numFmtId="188" fontId="4" fillId="39" borderId="11" xfId="0" applyNumberFormat="1" applyFont="1" applyFill="1" applyBorder="1"/>
    <xf numFmtId="0" fontId="55" fillId="21" borderId="10" xfId="0" quotePrefix="1" applyFont="1" applyFill="1" applyBorder="1"/>
    <xf numFmtId="0" fontId="4" fillId="2" borderId="0" xfId="0" applyFont="1" applyFill="1"/>
    <xf numFmtId="0" fontId="64" fillId="2" borderId="10" xfId="0" applyFont="1" applyFill="1" applyBorder="1"/>
    <xf numFmtId="0" fontId="6" fillId="38" borderId="13" xfId="0" applyFont="1" applyFill="1" applyBorder="1"/>
    <xf numFmtId="189" fontId="6" fillId="38" borderId="14" xfId="0" applyNumberFormat="1" applyFont="1" applyFill="1" applyBorder="1"/>
    <xf numFmtId="188" fontId="6" fillId="38" borderId="14" xfId="0" applyNumberFormat="1" applyFont="1" applyFill="1" applyBorder="1"/>
    <xf numFmtId="190" fontId="4" fillId="2" borderId="12" xfId="0" applyNumberFormat="1" applyFont="1" applyFill="1" applyBorder="1"/>
    <xf numFmtId="0" fontId="4" fillId="2" borderId="13" xfId="0" applyFont="1" applyFill="1" applyBorder="1"/>
    <xf numFmtId="0" fontId="55" fillId="2" borderId="13" xfId="0" applyFont="1" applyFill="1" applyBorder="1"/>
    <xf numFmtId="0" fontId="4" fillId="2" borderId="14" xfId="0" applyFont="1" applyFill="1" applyBorder="1"/>
    <xf numFmtId="187" fontId="4" fillId="39" borderId="9" xfId="0" applyNumberFormat="1" applyFont="1" applyFill="1" applyBorder="1"/>
    <xf numFmtId="187" fontId="6" fillId="39" borderId="10" xfId="0" applyNumberFormat="1" applyFont="1" applyFill="1" applyBorder="1"/>
    <xf numFmtId="187" fontId="4" fillId="39" borderId="10" xfId="0" applyNumberFormat="1" applyFont="1" applyFill="1" applyBorder="1"/>
    <xf numFmtId="187" fontId="4" fillId="0" borderId="2" xfId="0" applyNumberFormat="1" applyFont="1" applyBorder="1"/>
    <xf numFmtId="187" fontId="4" fillId="0" borderId="0" xfId="0" applyNumberFormat="1" applyFont="1"/>
    <xf numFmtId="0" fontId="4" fillId="0" borderId="3" xfId="0" applyFont="1" applyBorder="1"/>
    <xf numFmtId="189" fontId="4" fillId="0" borderId="3" xfId="0" applyNumberFormat="1" applyFont="1" applyBorder="1"/>
    <xf numFmtId="189" fontId="4" fillId="10" borderId="3" xfId="0" applyNumberFormat="1" applyFont="1" applyFill="1" applyBorder="1"/>
    <xf numFmtId="188" fontId="4" fillId="0" borderId="3" xfId="0" applyNumberFormat="1" applyFont="1" applyBorder="1"/>
    <xf numFmtId="191" fontId="6" fillId="39" borderId="11" xfId="0" applyNumberFormat="1" applyFont="1" applyFill="1" applyBorder="1"/>
    <xf numFmtId="191" fontId="6" fillId="0" borderId="11" xfId="0" applyNumberFormat="1" applyFont="1" applyBorder="1"/>
    <xf numFmtId="187" fontId="4" fillId="0" borderId="10" xfId="0" quotePrefix="1" applyNumberFormat="1" applyFont="1" applyBorder="1"/>
    <xf numFmtId="187" fontId="66" fillId="39" borderId="10" xfId="0" applyNumberFormat="1" applyFont="1" applyFill="1" applyBorder="1"/>
    <xf numFmtId="187" fontId="9" fillId="40" borderId="9" xfId="0" applyNumberFormat="1" applyFont="1" applyFill="1" applyBorder="1"/>
    <xf numFmtId="187" fontId="9" fillId="40" borderId="10" xfId="0" applyNumberFormat="1" applyFont="1" applyFill="1" applyBorder="1"/>
    <xf numFmtId="187" fontId="26" fillId="40" borderId="10" xfId="0" applyNumberFormat="1" applyFont="1" applyFill="1" applyBorder="1"/>
    <xf numFmtId="0" fontId="9" fillId="40" borderId="10" xfId="0" applyFont="1" applyFill="1" applyBorder="1"/>
    <xf numFmtId="0" fontId="9" fillId="40" borderId="11" xfId="0" applyFont="1" applyFill="1" applyBorder="1"/>
    <xf numFmtId="189" fontId="26" fillId="40" borderId="11" xfId="0" applyNumberFormat="1" applyFont="1" applyFill="1" applyBorder="1"/>
    <xf numFmtId="188" fontId="26" fillId="40" borderId="11" xfId="0" applyNumberFormat="1" applyFont="1" applyFill="1" applyBorder="1"/>
    <xf numFmtId="188" fontId="9" fillId="40" borderId="11" xfId="0" applyNumberFormat="1" applyFont="1" applyFill="1" applyBorder="1"/>
    <xf numFmtId="0" fontId="9" fillId="0" borderId="10" xfId="0" quotePrefix="1" applyFont="1" applyBorder="1"/>
    <xf numFmtId="187" fontId="4" fillId="40" borderId="9" xfId="0" applyNumberFormat="1" applyFont="1" applyFill="1" applyBorder="1"/>
    <xf numFmtId="187" fontId="4" fillId="40" borderId="10" xfId="0" applyNumberFormat="1" applyFont="1" applyFill="1" applyBorder="1"/>
    <xf numFmtId="187" fontId="6" fillId="40" borderId="10" xfId="0" applyNumberFormat="1" applyFont="1" applyFill="1" applyBorder="1"/>
    <xf numFmtId="0" fontId="4" fillId="40" borderId="10" xfId="0" applyFont="1" applyFill="1" applyBorder="1"/>
    <xf numFmtId="0" fontId="4" fillId="40" borderId="11" xfId="0" applyFont="1" applyFill="1" applyBorder="1"/>
    <xf numFmtId="189" fontId="6" fillId="40" borderId="11" xfId="0" applyNumberFormat="1" applyFont="1" applyFill="1" applyBorder="1"/>
    <xf numFmtId="188" fontId="6" fillId="40" borderId="11" xfId="0" applyNumberFormat="1" applyFont="1" applyFill="1" applyBorder="1"/>
    <xf numFmtId="188" fontId="4" fillId="40" borderId="11" xfId="0" applyNumberFormat="1" applyFont="1" applyFill="1" applyBorder="1"/>
    <xf numFmtId="187" fontId="4" fillId="0" borderId="5" xfId="0" applyNumberFormat="1" applyFont="1" applyBorder="1"/>
    <xf numFmtId="187" fontId="4" fillId="0" borderId="1" xfId="0" applyNumberFormat="1" applyFont="1" applyBorder="1"/>
    <xf numFmtId="0" fontId="4" fillId="0" borderId="4" xfId="0" applyFont="1" applyBorder="1"/>
    <xf numFmtId="0" fontId="6" fillId="38" borderId="7" xfId="0" applyFont="1" applyFill="1" applyBorder="1"/>
    <xf numFmtId="0" fontId="4" fillId="38" borderId="7" xfId="0" applyFont="1" applyFill="1" applyBorder="1"/>
    <xf numFmtId="0" fontId="4" fillId="38" borderId="8" xfId="0" applyFont="1" applyFill="1" applyBorder="1"/>
    <xf numFmtId="189" fontId="6" fillId="38" borderId="8" xfId="0" applyNumberFormat="1" applyFont="1" applyFill="1" applyBorder="1"/>
    <xf numFmtId="188" fontId="6" fillId="38" borderId="8" xfId="0" applyNumberFormat="1" applyFont="1" applyFill="1" applyBorder="1"/>
    <xf numFmtId="188" fontId="4" fillId="38" borderId="8" xfId="0" applyNumberFormat="1" applyFont="1" applyFill="1" applyBorder="1"/>
    <xf numFmtId="0" fontId="4" fillId="2" borderId="9" xfId="0" applyFont="1" applyFill="1" applyBorder="1"/>
    <xf numFmtId="0" fontId="4" fillId="2" borderId="5" xfId="0" applyFont="1" applyFill="1" applyBorder="1"/>
    <xf numFmtId="187" fontId="4" fillId="2" borderId="1" xfId="0" applyNumberFormat="1" applyFont="1" applyFill="1" applyBorder="1"/>
    <xf numFmtId="0" fontId="4" fillId="2" borderId="1" xfId="0" applyFont="1" applyFill="1" applyBorder="1"/>
    <xf numFmtId="189" fontId="4" fillId="38" borderId="8" xfId="0" applyNumberFormat="1" applyFont="1" applyFill="1" applyBorder="1"/>
    <xf numFmtId="0" fontId="4" fillId="39" borderId="13" xfId="0" applyFont="1" applyFill="1" applyBorder="1"/>
    <xf numFmtId="0" fontId="6" fillId="39" borderId="13" xfId="0" applyFont="1" applyFill="1" applyBorder="1"/>
    <xf numFmtId="0" fontId="4" fillId="39" borderId="14" xfId="0" applyFont="1" applyFill="1" applyBorder="1"/>
    <xf numFmtId="189" fontId="4" fillId="39" borderId="14" xfId="0" applyNumberFormat="1" applyFont="1" applyFill="1" applyBorder="1"/>
    <xf numFmtId="188" fontId="4" fillId="39" borderId="14" xfId="0" applyNumberFormat="1" applyFont="1" applyFill="1" applyBorder="1"/>
    <xf numFmtId="0" fontId="55" fillId="21" borderId="10" xfId="0" applyFont="1" applyFill="1" applyBorder="1"/>
    <xf numFmtId="187" fontId="4" fillId="2" borderId="11" xfId="0" applyNumberFormat="1" applyFont="1" applyFill="1" applyBorder="1"/>
    <xf numFmtId="192" fontId="4" fillId="2" borderId="11" xfId="0" applyNumberFormat="1" applyFont="1" applyFill="1" applyBorder="1"/>
    <xf numFmtId="187" fontId="6" fillId="2" borderId="11" xfId="0" applyNumberFormat="1" applyFont="1" applyFill="1" applyBorder="1"/>
    <xf numFmtId="0" fontId="4" fillId="0" borderId="5" xfId="0" applyFont="1" applyBorder="1"/>
    <xf numFmtId="0" fontId="69" fillId="0" borderId="1" xfId="0" applyFont="1" applyBorder="1"/>
    <xf numFmtId="187" fontId="4" fillId="2" borderId="4" xfId="0" applyNumberFormat="1" applyFont="1" applyFill="1" applyBorder="1"/>
    <xf numFmtId="192" fontId="4" fillId="2" borderId="4" xfId="0" applyNumberFormat="1" applyFont="1" applyFill="1" applyBorder="1"/>
    <xf numFmtId="0" fontId="26" fillId="38" borderId="7" xfId="0" applyFont="1" applyFill="1" applyBorder="1"/>
    <xf numFmtId="0" fontId="9" fillId="38" borderId="7" xfId="0" applyFont="1" applyFill="1" applyBorder="1"/>
    <xf numFmtId="0" fontId="9" fillId="38" borderId="8" xfId="0" applyFont="1" applyFill="1" applyBorder="1"/>
    <xf numFmtId="189" fontId="9" fillId="38" borderId="8" xfId="0" applyNumberFormat="1" applyFont="1" applyFill="1" applyBorder="1"/>
    <xf numFmtId="188" fontId="26" fillId="38" borderId="8" xfId="0" applyNumberFormat="1" applyFont="1" applyFill="1" applyBorder="1"/>
    <xf numFmtId="188" fontId="9" fillId="38" borderId="8" xfId="0" applyNumberFormat="1" applyFont="1" applyFill="1" applyBorder="1"/>
    <xf numFmtId="0" fontId="60" fillId="2" borderId="10" xfId="0" applyFont="1" applyFill="1" applyBorder="1"/>
    <xf numFmtId="0" fontId="60" fillId="21" borderId="10" xfId="0" applyFont="1" applyFill="1" applyBorder="1"/>
    <xf numFmtId="0" fontId="26" fillId="38" borderId="13" xfId="0" applyFont="1" applyFill="1" applyBorder="1"/>
    <xf numFmtId="0" fontId="9" fillId="38" borderId="13" xfId="0" applyFont="1" applyFill="1" applyBorder="1"/>
    <xf numFmtId="0" fontId="9" fillId="38" borderId="14" xfId="0" applyFont="1" applyFill="1" applyBorder="1"/>
    <xf numFmtId="189" fontId="9" fillId="38" borderId="14" xfId="0" applyNumberFormat="1" applyFont="1" applyFill="1" applyBorder="1"/>
    <xf numFmtId="188" fontId="26" fillId="38" borderId="14" xfId="0" applyNumberFormat="1" applyFont="1" applyFill="1" applyBorder="1"/>
    <xf numFmtId="188" fontId="9" fillId="38" borderId="14" xfId="0" applyNumberFormat="1" applyFont="1" applyFill="1" applyBorder="1"/>
    <xf numFmtId="0" fontId="26" fillId="38" borderId="10" xfId="0" applyFont="1" applyFill="1" applyBorder="1"/>
    <xf numFmtId="0" fontId="9" fillId="38" borderId="10" xfId="0" applyFont="1" applyFill="1" applyBorder="1"/>
    <xf numFmtId="0" fontId="9" fillId="38" borderId="11" xfId="0" applyFont="1" applyFill="1" applyBorder="1"/>
    <xf numFmtId="189" fontId="9" fillId="38" borderId="11" xfId="0" applyNumberFormat="1" applyFont="1" applyFill="1" applyBorder="1"/>
    <xf numFmtId="188" fontId="26" fillId="38" borderId="11" xfId="0" applyNumberFormat="1" applyFont="1" applyFill="1" applyBorder="1"/>
    <xf numFmtId="188" fontId="9" fillId="38" borderId="11" xfId="0" applyNumberFormat="1" applyFont="1" applyFill="1" applyBorder="1"/>
    <xf numFmtId="187" fontId="9" fillId="0" borderId="11" xfId="0" applyNumberFormat="1" applyFont="1" applyBorder="1"/>
    <xf numFmtId="187" fontId="66" fillId="38" borderId="10" xfId="0" applyNumberFormat="1" applyFont="1" applyFill="1" applyBorder="1"/>
    <xf numFmtId="0" fontId="4" fillId="38" borderId="10" xfId="0" applyFont="1" applyFill="1" applyBorder="1"/>
    <xf numFmtId="0" fontId="4" fillId="38" borderId="11" xfId="0" applyFont="1" applyFill="1" applyBorder="1"/>
    <xf numFmtId="189" fontId="4" fillId="38" borderId="11" xfId="0" applyNumberFormat="1" applyFont="1" applyFill="1" applyBorder="1"/>
    <xf numFmtId="189" fontId="6" fillId="38" borderId="11" xfId="0" applyNumberFormat="1" applyFont="1" applyFill="1" applyBorder="1"/>
    <xf numFmtId="188" fontId="6" fillId="38" borderId="11" xfId="0" applyNumberFormat="1" applyFont="1" applyFill="1" applyBorder="1"/>
    <xf numFmtId="188" fontId="4" fillId="38" borderId="11" xfId="0" applyNumberFormat="1" applyFont="1" applyFill="1" applyBorder="1"/>
    <xf numFmtId="187" fontId="4" fillId="0" borderId="11" xfId="0" applyNumberFormat="1" applyFont="1" applyBorder="1"/>
    <xf numFmtId="187" fontId="9" fillId="38" borderId="10" xfId="0" applyNumberFormat="1" applyFont="1" applyFill="1" applyBorder="1"/>
    <xf numFmtId="0" fontId="61" fillId="2" borderId="10" xfId="0" applyFont="1" applyFill="1" applyBorder="1"/>
    <xf numFmtId="187" fontId="60" fillId="21" borderId="10" xfId="0" applyNumberFormat="1" applyFont="1" applyFill="1" applyBorder="1"/>
    <xf numFmtId="187" fontId="9" fillId="2" borderId="24" xfId="0" applyNumberFormat="1" applyFont="1" applyFill="1" applyBorder="1"/>
    <xf numFmtId="187" fontId="9" fillId="2" borderId="25" xfId="0" applyNumberFormat="1" applyFont="1" applyFill="1" applyBorder="1"/>
    <xf numFmtId="0" fontId="9" fillId="2" borderId="25" xfId="0" applyFont="1" applyFill="1" applyBorder="1"/>
    <xf numFmtId="0" fontId="9" fillId="2" borderId="26" xfId="0" applyFont="1" applyFill="1" applyBorder="1"/>
    <xf numFmtId="189" fontId="9" fillId="2" borderId="26" xfId="0" applyNumberFormat="1" applyFont="1" applyFill="1" applyBorder="1"/>
    <xf numFmtId="188" fontId="9" fillId="2" borderId="26" xfId="0" applyNumberFormat="1" applyFont="1" applyFill="1" applyBorder="1"/>
    <xf numFmtId="0" fontId="6" fillId="41" borderId="9" xfId="0" applyFont="1" applyFill="1" applyBorder="1"/>
    <xf numFmtId="0" fontId="4" fillId="41" borderId="10" xfId="0" applyFont="1" applyFill="1" applyBorder="1"/>
    <xf numFmtId="187" fontId="4" fillId="41" borderId="10" xfId="0" applyNumberFormat="1" applyFont="1" applyFill="1" applyBorder="1"/>
    <xf numFmtId="0" fontId="4" fillId="41" borderId="11" xfId="0" applyFont="1" applyFill="1" applyBorder="1"/>
    <xf numFmtId="0" fontId="6" fillId="41" borderId="11" xfId="0" applyFont="1" applyFill="1" applyBorder="1"/>
    <xf numFmtId="189" fontId="4" fillId="41" borderId="11" xfId="0" applyNumberFormat="1" applyFont="1" applyFill="1" applyBorder="1"/>
    <xf numFmtId="188" fontId="4" fillId="41" borderId="11" xfId="0" applyNumberFormat="1" applyFont="1" applyFill="1" applyBorder="1"/>
    <xf numFmtId="0" fontId="4" fillId="2" borderId="4" xfId="0" applyFont="1" applyFill="1" applyBorder="1"/>
    <xf numFmtId="189" fontId="4" fillId="26" borderId="11" xfId="0" applyNumberFormat="1" applyFont="1" applyFill="1" applyBorder="1"/>
    <xf numFmtId="0" fontId="76" fillId="0" borderId="0" xfId="0" applyFont="1"/>
    <xf numFmtId="187" fontId="29" fillId="23" borderId="9" xfId="0" applyNumberFormat="1" applyFont="1" applyFill="1" applyBorder="1"/>
    <xf numFmtId="187" fontId="29" fillId="23" borderId="10" xfId="0" applyNumberFormat="1" applyFont="1" applyFill="1" applyBorder="1"/>
    <xf numFmtId="0" fontId="30" fillId="23" borderId="10" xfId="0" applyFont="1" applyFill="1" applyBorder="1"/>
    <xf numFmtId="0" fontId="29" fillId="23" borderId="10" xfId="0" applyFont="1" applyFill="1" applyBorder="1"/>
    <xf numFmtId="0" fontId="29" fillId="23" borderId="11" xfId="0" applyFont="1" applyFill="1" applyBorder="1"/>
    <xf numFmtId="189" fontId="31" fillId="23" borderId="11" xfId="0" applyNumberFormat="1" applyFont="1" applyFill="1" applyBorder="1"/>
    <xf numFmtId="188" fontId="31" fillId="23" borderId="11" xfId="0" applyNumberFormat="1" applyFont="1" applyFill="1" applyBorder="1"/>
    <xf numFmtId="188" fontId="32" fillId="23" borderId="11" xfId="0" applyNumberFormat="1" applyFont="1" applyFill="1" applyBorder="1"/>
    <xf numFmtId="190" fontId="29" fillId="2" borderId="12" xfId="0" applyNumberFormat="1" applyFont="1" applyFill="1" applyBorder="1"/>
    <xf numFmtId="0" fontId="29" fillId="2" borderId="13" xfId="0" applyFont="1" applyFill="1" applyBorder="1"/>
    <xf numFmtId="0" fontId="30" fillId="2" borderId="13" xfId="0" applyFont="1" applyFill="1" applyBorder="1"/>
    <xf numFmtId="0" fontId="34" fillId="2" borderId="13" xfId="0" applyFont="1" applyFill="1" applyBorder="1"/>
    <xf numFmtId="0" fontId="29" fillId="2" borderId="14" xfId="0" applyFont="1" applyFill="1" applyBorder="1"/>
    <xf numFmtId="189" fontId="32" fillId="0" borderId="14" xfId="0" applyNumberFormat="1" applyFont="1" applyBorder="1"/>
    <xf numFmtId="188" fontId="32" fillId="0" borderId="14" xfId="0" applyNumberFormat="1" applyFont="1" applyBorder="1"/>
    <xf numFmtId="188" fontId="31" fillId="2" borderId="14" xfId="0" applyNumberFormat="1" applyFont="1" applyFill="1" applyBorder="1"/>
    <xf numFmtId="187" fontId="29" fillId="0" borderId="9" xfId="0" applyNumberFormat="1" applyFont="1" applyBorder="1"/>
    <xf numFmtId="187" fontId="29" fillId="0" borderId="10" xfId="0" applyNumberFormat="1" applyFont="1" applyBorder="1"/>
    <xf numFmtId="0" fontId="34" fillId="21" borderId="10" xfId="0" quotePrefix="1" applyFont="1" applyFill="1" applyBorder="1"/>
    <xf numFmtId="0" fontId="29" fillId="21" borderId="10" xfId="0" applyFont="1" applyFill="1" applyBorder="1"/>
    <xf numFmtId="0" fontId="29" fillId="21" borderId="11" xfId="0" applyFont="1" applyFill="1" applyBorder="1"/>
    <xf numFmtId="0" fontId="32" fillId="0" borderId="11" xfId="0" applyFont="1" applyBorder="1"/>
    <xf numFmtId="0" fontId="35" fillId="0" borderId="10" xfId="0" applyFont="1" applyBorder="1"/>
    <xf numFmtId="0" fontId="29" fillId="0" borderId="10" xfId="0" applyFont="1" applyBorder="1"/>
    <xf numFmtId="0" fontId="29" fillId="0" borderId="11" xfId="0" applyFont="1" applyBorder="1"/>
    <xf numFmtId="189" fontId="32" fillId="10" borderId="11" xfId="0" applyNumberFormat="1" applyFont="1" applyFill="1" applyBorder="1"/>
    <xf numFmtId="187" fontId="35" fillId="0" borderId="10" xfId="0" quotePrefix="1" applyNumberFormat="1" applyFont="1" applyBorder="1"/>
    <xf numFmtId="0" fontId="35" fillId="0" borderId="10" xfId="0" quotePrefix="1" applyFont="1" applyBorder="1"/>
    <xf numFmtId="0" fontId="34" fillId="2" borderId="13" xfId="0" quotePrefix="1" applyFont="1" applyFill="1" applyBorder="1"/>
    <xf numFmtId="189" fontId="6" fillId="10" borderId="11" xfId="0" applyNumberFormat="1" applyFont="1" applyFill="1" applyBorder="1"/>
    <xf numFmtId="188" fontId="1" fillId="41" borderId="27" xfId="0" applyNumberFormat="1" applyFont="1" applyFill="1" applyBorder="1" applyAlignment="1">
      <alignment horizontal="right"/>
    </xf>
    <xf numFmtId="188" fontId="1" fillId="41" borderId="19" xfId="0" applyNumberFormat="1" applyFont="1" applyFill="1" applyBorder="1" applyAlignment="1">
      <alignment horizontal="right"/>
    </xf>
    <xf numFmtId="191" fontId="4" fillId="10" borderId="11" xfId="0" applyNumberFormat="1" applyFont="1" applyFill="1" applyBorder="1"/>
    <xf numFmtId="189" fontId="14" fillId="2" borderId="15" xfId="0" applyNumberFormat="1" applyFont="1" applyFill="1" applyBorder="1" applyAlignment="1">
      <alignment horizontal="right"/>
    </xf>
    <xf numFmtId="189" fontId="14" fillId="2" borderId="14" xfId="0" applyNumberFormat="1" applyFont="1" applyFill="1" applyBorder="1" applyAlignment="1">
      <alignment horizontal="right"/>
    </xf>
    <xf numFmtId="188" fontId="14" fillId="2" borderId="14" xfId="0" applyNumberFormat="1" applyFont="1" applyFill="1" applyBorder="1" applyAlignment="1">
      <alignment horizontal="right"/>
    </xf>
    <xf numFmtId="189" fontId="2" fillId="2" borderId="16" xfId="0" applyNumberFormat="1" applyFont="1" applyFill="1" applyBorder="1"/>
    <xf numFmtId="189" fontId="2" fillId="2" borderId="11" xfId="0" applyNumberFormat="1" applyFont="1" applyFill="1" applyBorder="1"/>
    <xf numFmtId="188" fontId="2" fillId="2" borderId="11" xfId="0" applyNumberFormat="1" applyFont="1" applyFill="1" applyBorder="1"/>
    <xf numFmtId="189" fontId="14" fillId="2" borderId="16" xfId="0" applyNumberFormat="1" applyFont="1" applyFill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-&#3609;&#3619;&#3634;&#3608;&#3636;&#3623;&#3634;&#362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การใช้ งปม."/>
      <sheetName val="นราธิวาส"/>
      <sheetName val="ผลการเบิกจ่ายเงินงบประมาณ"/>
      <sheetName val="ผลการเบิกจ่ายเงินกองทุน"/>
      <sheetName val="Sheet15"/>
      <sheetName val="Sheet12"/>
      <sheetName val="(ผตร.)แบบรายงานผลงาน"/>
      <sheetName val="นำเข้า studio"/>
      <sheetName val="(ผตร.)ปัญหาอุปสรรค"/>
      <sheetName val="รายงานงบประมาณ"/>
      <sheetName val="ผลการเบิกจ่าย(กลุ่มยุทธ)"/>
    </sheetNames>
    <sheetDataSet>
      <sheetData sheetId="0" refreshError="1"/>
      <sheetData sheetId="1" refreshError="1"/>
      <sheetData sheetId="2">
        <row r="28">
          <cell r="G28">
            <v>4400</v>
          </cell>
        </row>
        <row r="30">
          <cell r="G30">
            <v>0</v>
          </cell>
        </row>
      </sheetData>
      <sheetData sheetId="3">
        <row r="6">
          <cell r="F6">
            <v>1000</v>
          </cell>
        </row>
        <row r="11">
          <cell r="F11">
            <v>11000</v>
          </cell>
        </row>
        <row r="20">
          <cell r="F20">
            <v>10746</v>
          </cell>
        </row>
        <row r="21">
          <cell r="F21">
            <v>64134</v>
          </cell>
        </row>
        <row r="22">
          <cell r="F22">
            <v>1000</v>
          </cell>
        </row>
        <row r="24">
          <cell r="F24">
            <v>5420</v>
          </cell>
        </row>
        <row r="25">
          <cell r="F25">
            <v>12000</v>
          </cell>
        </row>
        <row r="26">
          <cell r="F26">
            <v>15000</v>
          </cell>
        </row>
        <row r="27">
          <cell r="F27">
            <v>4109</v>
          </cell>
        </row>
        <row r="28">
          <cell r="F28">
            <v>2750</v>
          </cell>
        </row>
        <row r="29">
          <cell r="F29">
            <v>15250</v>
          </cell>
        </row>
        <row r="30">
          <cell r="F30">
            <v>2120</v>
          </cell>
        </row>
        <row r="31">
          <cell r="F31">
            <v>28566</v>
          </cell>
        </row>
        <row r="36">
          <cell r="F36">
            <v>67230</v>
          </cell>
        </row>
        <row r="47">
          <cell r="F47">
            <v>25680</v>
          </cell>
        </row>
        <row r="54">
          <cell r="F54">
            <v>5780</v>
          </cell>
        </row>
        <row r="55">
          <cell r="F55">
            <v>2400</v>
          </cell>
        </row>
        <row r="56">
          <cell r="F56">
            <v>13053</v>
          </cell>
        </row>
        <row r="57">
          <cell r="F57">
            <v>300</v>
          </cell>
        </row>
        <row r="58">
          <cell r="F58">
            <v>4450</v>
          </cell>
        </row>
        <row r="60">
          <cell r="F60">
            <v>750</v>
          </cell>
        </row>
        <row r="61">
          <cell r="F61">
            <v>16740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zoomScale="85" zoomScaleNormal="85" workbookViewId="0">
      <pane ySplit="6" topLeftCell="A7" activePane="bottomLeft" state="frozen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85546875" bestFit="1" customWidth="1"/>
    <col min="11" max="11" width="12" bestFit="1" customWidth="1"/>
    <col min="12" max="13" width="23.5703125" bestFit="1" customWidth="1"/>
    <col min="14" max="14" width="22" bestFit="1" customWidth="1"/>
    <col min="15" max="15" width="20.28515625" bestFit="1" customWidth="1"/>
    <col min="16" max="16" width="22.140625" bestFit="1" customWidth="1"/>
  </cols>
  <sheetData>
    <row r="1" spans="1:26" ht="20.25" customHeight="1">
      <c r="A1" s="828" t="s">
        <v>0</v>
      </c>
      <c r="B1" s="829"/>
      <c r="C1" s="829"/>
      <c r="D1" s="829"/>
      <c r="E1" s="829"/>
      <c r="F1" s="829"/>
      <c r="G1" s="829"/>
      <c r="H1" s="829"/>
      <c r="I1" s="829"/>
      <c r="J1" s="829"/>
      <c r="K1" s="829"/>
      <c r="L1" s="829"/>
      <c r="M1" s="829"/>
      <c r="N1" s="829"/>
      <c r="O1" s="829"/>
      <c r="P1" s="829"/>
    </row>
    <row r="2" spans="1:26" ht="20.25" customHeight="1">
      <c r="A2" s="828" t="s">
        <v>1</v>
      </c>
      <c r="B2" s="829"/>
      <c r="C2" s="829"/>
      <c r="D2" s="829"/>
      <c r="E2" s="829"/>
      <c r="F2" s="829"/>
      <c r="G2" s="829"/>
      <c r="H2" s="829"/>
      <c r="I2" s="829"/>
      <c r="J2" s="829"/>
      <c r="K2" s="829"/>
      <c r="L2" s="829"/>
      <c r="M2" s="829"/>
      <c r="N2" s="829"/>
      <c r="O2" s="829"/>
      <c r="P2" s="829"/>
    </row>
    <row r="3" spans="1:26" ht="20.25" customHeight="1">
      <c r="A3" s="828" t="s">
        <v>330</v>
      </c>
      <c r="B3" s="829"/>
      <c r="C3" s="829"/>
      <c r="D3" s="829"/>
      <c r="E3" s="829"/>
      <c r="F3" s="829"/>
      <c r="G3" s="829"/>
      <c r="H3" s="829"/>
      <c r="I3" s="829"/>
      <c r="J3" s="829"/>
      <c r="K3" s="829"/>
      <c r="L3" s="829"/>
      <c r="M3" s="829"/>
      <c r="N3" s="829"/>
      <c r="O3" s="829"/>
      <c r="P3" s="829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36" t="s">
        <v>2</v>
      </c>
      <c r="B5" s="829"/>
      <c r="C5" s="829"/>
      <c r="D5" s="829"/>
      <c r="E5" s="829"/>
      <c r="F5" s="829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20.25" customHeight="1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39" t="s">
        <v>15</v>
      </c>
      <c r="B7" s="833"/>
      <c r="C7" s="833"/>
      <c r="D7" s="833"/>
      <c r="E7" s="833"/>
      <c r="F7" s="833"/>
      <c r="G7" s="831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124312773</v>
      </c>
      <c r="M8" s="22">
        <f t="shared" ca="1" si="0"/>
        <v>118044079.81</v>
      </c>
      <c r="N8" s="22">
        <f t="shared" ca="1" si="0"/>
        <v>51338405.939999983</v>
      </c>
      <c r="O8" s="22">
        <f t="shared" ref="O8:O16" ca="1" si="1">IF(L8&gt;0,N8*100/L8,0)</f>
        <v>41.297772305344665</v>
      </c>
      <c r="P8" s="22">
        <f t="shared" ref="P8:P16" ca="1" si="2">IF(M8&gt;0,N8*100/M8,0)</f>
        <v>43.490877325345451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124312773</v>
      </c>
      <c r="M10" s="30">
        <f t="shared" ca="1" si="4"/>
        <v>118044079.81</v>
      </c>
      <c r="N10" s="30">
        <f t="shared" ca="1" si="4"/>
        <v>51338405.939999983</v>
      </c>
      <c r="O10" s="30">
        <f t="shared" ca="1" si="1"/>
        <v>41.297772305344665</v>
      </c>
      <c r="P10" s="30">
        <f t="shared" ca="1" si="2"/>
        <v>43.490877325345451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53162873</v>
      </c>
      <c r="M11" s="38">
        <f t="shared" ca="1" si="5"/>
        <v>46932969.810000002</v>
      </c>
      <c r="N11" s="38">
        <f t="shared" ca="1" si="5"/>
        <v>28273413.619999979</v>
      </c>
      <c r="O11" s="38">
        <f t="shared" ca="1" si="1"/>
        <v>53.182629200645309</v>
      </c>
      <c r="P11" s="38">
        <f t="shared" ca="1" si="2"/>
        <v>60.242114944909723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53162873</v>
      </c>
      <c r="M13" s="45">
        <f t="shared" ca="1" si="7"/>
        <v>46932969.810000002</v>
      </c>
      <c r="N13" s="45">
        <f t="shared" ca="1" si="7"/>
        <v>28273413.619999979</v>
      </c>
      <c r="O13" s="45">
        <f t="shared" ca="1" si="1"/>
        <v>53.182629200645309</v>
      </c>
      <c r="P13" s="45">
        <f t="shared" ca="1" si="2"/>
        <v>60.242114944909723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71149900</v>
      </c>
      <c r="M14" s="38">
        <f t="shared" ca="1" si="8"/>
        <v>71111110</v>
      </c>
      <c r="N14" s="38">
        <f t="shared" ca="1" si="8"/>
        <v>23064992.32</v>
      </c>
      <c r="O14" s="38">
        <f t="shared" ca="1" si="1"/>
        <v>32.417462737122612</v>
      </c>
      <c r="P14" s="38">
        <f t="shared" ca="1" si="2"/>
        <v>32.435145956799154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71149900</v>
      </c>
      <c r="M16" s="52">
        <f t="shared" ca="1" si="10"/>
        <v>71111110</v>
      </c>
      <c r="N16" s="52">
        <f t="shared" ca="1" si="10"/>
        <v>23064992.32</v>
      </c>
      <c r="O16" s="52">
        <f t="shared" ca="1" si="1"/>
        <v>32.417462737122612</v>
      </c>
      <c r="P16" s="52">
        <f t="shared" ca="1" si="2"/>
        <v>32.435145956799154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39" t="s">
        <v>22</v>
      </c>
      <c r="B17" s="833"/>
      <c r="C17" s="833"/>
      <c r="D17" s="833"/>
      <c r="E17" s="833"/>
      <c r="F17" s="833"/>
      <c r="G17" s="83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108223463</v>
      </c>
      <c r="M18" s="22">
        <f t="shared" ca="1" si="11"/>
        <v>101960379.81</v>
      </c>
      <c r="N18" s="22">
        <f t="shared" ca="1" si="11"/>
        <v>44030893.079999983</v>
      </c>
      <c r="O18" s="22">
        <f t="shared" ref="O18:O26" ca="1" si="12">IF(L18&gt;0,N18*100/L18,0)</f>
        <v>40.685163696896282</v>
      </c>
      <c r="P18" s="22">
        <f t="shared" ref="P18:P26" ca="1" si="13">IF(M18&gt;0,N18*100/M18,0)</f>
        <v>43.184316459050251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108223463</v>
      </c>
      <c r="M20" s="30">
        <f t="shared" ca="1" si="15"/>
        <v>101960379.81</v>
      </c>
      <c r="N20" s="30">
        <f t="shared" ca="1" si="15"/>
        <v>44030893.079999983</v>
      </c>
      <c r="O20" s="30">
        <f t="shared" ca="1" si="12"/>
        <v>40.685163696896282</v>
      </c>
      <c r="P20" s="30">
        <f t="shared" ca="1" si="13"/>
        <v>43.184316459050251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37073563</v>
      </c>
      <c r="M21" s="38">
        <f t="shared" ca="1" si="16"/>
        <v>30849269.809999999</v>
      </c>
      <c r="N21" s="38">
        <f t="shared" ca="1" si="16"/>
        <v>20965900.759999979</v>
      </c>
      <c r="O21" s="38">
        <f t="shared" ca="1" si="12"/>
        <v>56.552160255004296</v>
      </c>
      <c r="P21" s="38">
        <f t="shared" ca="1" si="13"/>
        <v>67.962389026153673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37073563</v>
      </c>
      <c r="M23" s="45">
        <f ca="1">M46+M58+M71+M93+M124+M137+M154+M186+M170+M266+M282+M303+M460+M333+M350+M394+M407+M320</f>
        <v>30849269.809999999</v>
      </c>
      <c r="N23" s="45">
        <f ca="1">N46+N58+N71+N93+N124+N137+N154+N186+N170+N266+N282+N303+N320+N333+N350+N394+N407</f>
        <v>20965900.759999979</v>
      </c>
      <c r="O23" s="45">
        <f t="shared" ca="1" si="12"/>
        <v>56.552160255004296</v>
      </c>
      <c r="P23" s="45">
        <f t="shared" ca="1" si="13"/>
        <v>67.962389026153673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71149900</v>
      </c>
      <c r="M24" s="38">
        <f t="shared" ca="1" si="18"/>
        <v>71111110</v>
      </c>
      <c r="N24" s="38">
        <f t="shared" ca="1" si="18"/>
        <v>23064992.32</v>
      </c>
      <c r="O24" s="38">
        <f t="shared" ca="1" si="12"/>
        <v>32.417462737122612</v>
      </c>
      <c r="P24" s="38">
        <f t="shared" ca="1" si="13"/>
        <v>32.435145956799154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19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9"/>
        <v>71149900</v>
      </c>
      <c r="M26" s="52">
        <f t="shared" ref="M26:N26" ca="1" si="20">M49+M61+M74+M96+M127+M140+M157+M189+M173+M269+M285+M306+M323+M336+M353+M397+M410</f>
        <v>71111110</v>
      </c>
      <c r="N26" s="52">
        <f t="shared" ca="1" si="20"/>
        <v>23064992.32</v>
      </c>
      <c r="O26" s="52">
        <f t="shared" ca="1" si="12"/>
        <v>32.417462737122612</v>
      </c>
      <c r="P26" s="52">
        <f t="shared" ca="1" si="13"/>
        <v>32.435145956799154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39" t="s">
        <v>23</v>
      </c>
      <c r="B27" s="833"/>
      <c r="C27" s="833"/>
      <c r="D27" s="833"/>
      <c r="E27" s="833"/>
      <c r="F27" s="833"/>
      <c r="G27" s="83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16089310</v>
      </c>
      <c r="M28" s="22">
        <f t="shared" ca="1" si="21"/>
        <v>16083700</v>
      </c>
      <c r="N28" s="22">
        <f t="shared" ca="1" si="21"/>
        <v>7307512.8600000003</v>
      </c>
      <c r="O28" s="22">
        <f t="shared" ref="O28:O37" ca="1" si="22">IF(L28&gt;0,N28*100/L28,0)</f>
        <v>45.418435346201917</v>
      </c>
      <c r="P28" s="22">
        <f t="shared" ref="P28:P31" ca="1" si="23">IF(M28&gt;0,N28*100/M28,0)</f>
        <v>45.434277311812579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16089310</v>
      </c>
      <c r="M30" s="30">
        <f t="shared" ca="1" si="25"/>
        <v>16083700</v>
      </c>
      <c r="N30" s="30">
        <f t="shared" ca="1" si="25"/>
        <v>7307512.8600000003</v>
      </c>
      <c r="O30" s="30">
        <f t="shared" ca="1" si="22"/>
        <v>45.418435346201917</v>
      </c>
      <c r="P30" s="30">
        <f t="shared" ca="1" si="23"/>
        <v>45.434277311812579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16089310</v>
      </c>
      <c r="M31" s="38">
        <f t="shared" ca="1" si="26"/>
        <v>16083700</v>
      </c>
      <c r="N31" s="38">
        <f t="shared" ca="1" si="26"/>
        <v>7307512.8600000003</v>
      </c>
      <c r="O31" s="38">
        <f t="shared" ca="1" si="22"/>
        <v>45.418435346201917</v>
      </c>
      <c r="P31" s="38">
        <f t="shared" ca="1" si="23"/>
        <v>45.434277311812579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16089310</v>
      </c>
      <c r="M33" s="45">
        <f t="shared" ca="1" si="28"/>
        <v>16083700</v>
      </c>
      <c r="N33" s="45">
        <f t="shared" ca="1" si="28"/>
        <v>7307512.8600000003</v>
      </c>
      <c r="O33" s="45">
        <f t="shared" ca="1" si="22"/>
        <v>45.418435346201917</v>
      </c>
      <c r="P33" s="45">
        <f t="shared" ref="P33:P37" ca="1" si="29">IF(M33&gt;0,N33*100/M33,0)</f>
        <v>45.434277311812579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108223463</v>
      </c>
      <c r="M37" s="59">
        <f ca="1">M41+M53+M66+M88+M119+M132+M149+M165+M181+M261+M277+M298+M315+M468+M345+M389+M402</f>
        <v>100202629.81</v>
      </c>
      <c r="N37" s="59">
        <f ca="1">N41+N53+N66+N88+N119+N132+N149+N165+N181+N261+N277+N298+N315+N328+N345+N389+N402</f>
        <v>44030893.079999976</v>
      </c>
      <c r="O37" s="59">
        <f t="shared" ca="1" si="22"/>
        <v>40.685163696896275</v>
      </c>
      <c r="P37" s="59">
        <f t="shared" ca="1" si="29"/>
        <v>43.941853785164611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40" t="s">
        <v>27</v>
      </c>
      <c r="C40" s="841"/>
      <c r="D40" s="841"/>
      <c r="E40" s="841"/>
      <c r="F40" s="841"/>
      <c r="G40" s="84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5663953</v>
      </c>
      <c r="M41" s="85">
        <f t="shared" ca="1" si="33"/>
        <v>5908759.8099999996</v>
      </c>
      <c r="N41" s="85">
        <f t="shared" ca="1" si="33"/>
        <v>3402188.77</v>
      </c>
      <c r="O41" s="85">
        <f t="shared" ref="O41:O45" ca="1" si="34">IF(L41&gt;0,N41*100/L41,0)</f>
        <v>60.067390566270589</v>
      </c>
      <c r="P41" s="85">
        <f t="shared" ref="P41:P49" ca="1" si="35">IF(M41&gt;0,N41*100/M41,0)</f>
        <v>57.578728521713259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5663953</v>
      </c>
      <c r="M43" s="92">
        <f t="shared" ca="1" si="37"/>
        <v>5908759.8099999996</v>
      </c>
      <c r="N43" s="92">
        <f t="shared" ca="1" si="37"/>
        <v>3402188.77</v>
      </c>
      <c r="O43" s="92">
        <f t="shared" ca="1" si="34"/>
        <v>60.067390566270589</v>
      </c>
      <c r="P43" s="92">
        <f t="shared" ca="1" si="35"/>
        <v>57.578728521713259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5663953</v>
      </c>
      <c r="M44" s="38">
        <f t="shared" ca="1" si="38"/>
        <v>5908759.8099999996</v>
      </c>
      <c r="N44" s="38">
        <f t="shared" ca="1" si="38"/>
        <v>3402188.77</v>
      </c>
      <c r="O44" s="38">
        <f t="shared" ca="1" si="34"/>
        <v>60.067390566270589</v>
      </c>
      <c r="P44" s="38">
        <f t="shared" ca="1" si="35"/>
        <v>57.578728521713259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5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5908759.81)</f>
        <v>5908759.8099999996</v>
      </c>
      <c r="N46" s="45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3402188.77)</f>
        <v>3402188.77</v>
      </c>
      <c r="O46" s="45">
        <f ca="1">IF(M46&gt;0,N46*100/M46,0)</f>
        <v>57.578728521713259</v>
      </c>
      <c r="P46" s="45">
        <f t="shared" ca="1" si="35"/>
        <v>57.578728521713259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2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2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43" t="s">
        <v>28</v>
      </c>
      <c r="B50" s="833"/>
      <c r="C50" s="833"/>
      <c r="D50" s="833"/>
      <c r="E50" s="833"/>
      <c r="F50" s="833"/>
      <c r="G50" s="83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44" t="s">
        <v>29</v>
      </c>
      <c r="C51" s="841"/>
      <c r="D51" s="841"/>
      <c r="E51" s="841"/>
      <c r="F51" s="841"/>
      <c r="G51" s="84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14064900</v>
      </c>
      <c r="M53" s="116">
        <f t="shared" ca="1" si="41"/>
        <v>11874008</v>
      </c>
      <c r="N53" s="116">
        <f t="shared" ca="1" si="41"/>
        <v>5817700.54</v>
      </c>
      <c r="O53" s="116">
        <f t="shared" ref="O53:O61" ca="1" si="42">IF(L53&gt;0,N53*100/L53,0)</f>
        <v>41.363255622151598</v>
      </c>
      <c r="P53" s="116">
        <f t="shared" ref="P53:P61" ca="1" si="43">IF(M53&gt;0,N53*100/M53,0)</f>
        <v>48.99525535101543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14064900</v>
      </c>
      <c r="M55" s="123">
        <f t="shared" ca="1" si="45"/>
        <v>11874008</v>
      </c>
      <c r="N55" s="123">
        <f t="shared" ca="1" si="45"/>
        <v>5817700.54</v>
      </c>
      <c r="O55" s="123">
        <f t="shared" ca="1" si="42"/>
        <v>41.363255622151598</v>
      </c>
      <c r="P55" s="123">
        <f t="shared" ca="1" si="43"/>
        <v>48.99525535101543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8816200</v>
      </c>
      <c r="M56" s="38">
        <f t="shared" ca="1" si="46"/>
        <v>6630708</v>
      </c>
      <c r="N56" s="38">
        <f t="shared" ca="1" si="46"/>
        <v>5244400.54</v>
      </c>
      <c r="O56" s="38">
        <f t="shared" ca="1" si="42"/>
        <v>59.485952451169439</v>
      </c>
      <c r="P56" s="38">
        <f t="shared" ca="1" si="43"/>
        <v>79.092617862225268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5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6630708)</f>
        <v>6630708</v>
      </c>
      <c r="N58" s="45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5244400.54)</f>
        <v>5244400.54</v>
      </c>
      <c r="O58" s="45">
        <f t="shared" ca="1" si="42"/>
        <v>59.485952451169439</v>
      </c>
      <c r="P58" s="45">
        <f t="shared" ca="1" si="43"/>
        <v>79.092617862225268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5248700</v>
      </c>
      <c r="M59" s="38">
        <f t="shared" ca="1" si="47"/>
        <v>5243300</v>
      </c>
      <c r="N59" s="38">
        <f t="shared" ca="1" si="47"/>
        <v>573300</v>
      </c>
      <c r="O59" s="38">
        <f t="shared" ca="1" si="42"/>
        <v>10.922704669727741</v>
      </c>
      <c r="P59" s="38">
        <f t="shared" ca="1" si="43"/>
        <v>10.933953807716515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2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5243300)</f>
        <v>5243300</v>
      </c>
      <c r="N61" s="52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573300)</f>
        <v>573300</v>
      </c>
      <c r="O61" s="52">
        <f t="shared" ca="1" si="42"/>
        <v>10.922704669727741</v>
      </c>
      <c r="P61" s="52">
        <f t="shared" ca="1" si="43"/>
        <v>10.933953807716515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4</v>
      </c>
      <c r="J64" s="144">
        <f t="shared" ca="1" si="48"/>
        <v>4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120</v>
      </c>
      <c r="J65" s="144">
        <f t="shared" ca="1" si="50"/>
        <v>120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2784200</v>
      </c>
      <c r="M66" s="155">
        <f t="shared" ca="1" si="51"/>
        <v>2386400</v>
      </c>
      <c r="N66" s="155">
        <f t="shared" ca="1" si="51"/>
        <v>1643337.44</v>
      </c>
      <c r="O66" s="155">
        <f t="shared" ref="O66:O74" ca="1" si="52">IF(L66&gt;0,N66*100/L66,0)</f>
        <v>59.023685080094822</v>
      </c>
      <c r="P66" s="155">
        <f t="shared" ref="P66:P74" ca="1" si="53">IF(M66&gt;0,N66*100/M66,0)</f>
        <v>68.862614817298024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2784200</v>
      </c>
      <c r="M68" s="45">
        <f t="shared" ca="1" si="55"/>
        <v>2386400</v>
      </c>
      <c r="N68" s="45">
        <f t="shared" ca="1" si="55"/>
        <v>1643337.44</v>
      </c>
      <c r="O68" s="45">
        <f t="shared" ca="1" si="52"/>
        <v>59.023685080094822</v>
      </c>
      <c r="P68" s="45">
        <f t="shared" ca="1" si="53"/>
        <v>68.862614817298024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2784200</v>
      </c>
      <c r="M69" s="38">
        <f t="shared" ca="1" si="56"/>
        <v>2386400</v>
      </c>
      <c r="N69" s="38">
        <f t="shared" ca="1" si="56"/>
        <v>1643337.44</v>
      </c>
      <c r="O69" s="38">
        <f t="shared" ca="1" si="52"/>
        <v>59.023685080094822</v>
      </c>
      <c r="P69" s="38">
        <f t="shared" ca="1" si="53"/>
        <v>68.862614817298024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5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2386400)</f>
        <v>2386400</v>
      </c>
      <c r="N71" s="45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1643337.44)</f>
        <v>1643337.44</v>
      </c>
      <c r="O71" s="45">
        <f t="shared" ca="1" si="52"/>
        <v>59.023685080094822</v>
      </c>
      <c r="P71" s="45">
        <f t="shared" ca="1" si="53"/>
        <v>68.862614817298024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5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5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4</v>
      </c>
      <c r="J76" s="37">
        <f t="shared" ca="1" si="58"/>
        <v>4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120</v>
      </c>
      <c r="J77" s="37">
        <f t="shared" ca="1" si="60"/>
        <v>120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3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2)</f>
        <v>2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3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60)</f>
        <v>60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3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3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3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1)</f>
        <v>1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3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30)</f>
        <v>30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3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0)</f>
        <v>0</v>
      </c>
      <c r="K84" s="163">
        <f t="shared" ca="1" si="59"/>
        <v>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285</v>
      </c>
      <c r="J86" s="144">
        <f t="shared" ca="1" si="61"/>
        <v>285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95</v>
      </c>
      <c r="J87" s="144">
        <f t="shared" ca="1" si="63"/>
        <v>95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2722980</v>
      </c>
      <c r="M88" s="155">
        <f t="shared" ca="1" si="64"/>
        <v>2109330</v>
      </c>
      <c r="N88" s="155">
        <f t="shared" ca="1" si="64"/>
        <v>1419331.96999999</v>
      </c>
      <c r="O88" s="155">
        <f t="shared" ref="O88:O96" ca="1" si="65">IF(L88&gt;0,N88*100/L88,0)</f>
        <v>52.124215748921763</v>
      </c>
      <c r="P88" s="155">
        <f t="shared" ref="P88:P96" ca="1" si="66">IF(M88&gt;0,N88*100/M88,0)</f>
        <v>67.288284431548874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2722980</v>
      </c>
      <c r="M90" s="45">
        <f t="shared" ca="1" si="68"/>
        <v>2109330</v>
      </c>
      <c r="N90" s="45">
        <f t="shared" ca="1" si="68"/>
        <v>1419331.96999999</v>
      </c>
      <c r="O90" s="45">
        <f t="shared" ca="1" si="65"/>
        <v>52.124215748921763</v>
      </c>
      <c r="P90" s="45">
        <f t="shared" ca="1" si="66"/>
        <v>67.288284431548874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2722980</v>
      </c>
      <c r="M91" s="38">
        <f t="shared" ca="1" si="69"/>
        <v>2109330</v>
      </c>
      <c r="N91" s="38">
        <f t="shared" ca="1" si="69"/>
        <v>1419331.96999999</v>
      </c>
      <c r="O91" s="38">
        <f t="shared" ca="1" si="65"/>
        <v>52.124215748921763</v>
      </c>
      <c r="P91" s="38">
        <f t="shared" ca="1" si="66"/>
        <v>67.288284431548874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5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2109330)</f>
        <v>2109330</v>
      </c>
      <c r="N93" s="45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1419331.96999999)</f>
        <v>1419331.96999999</v>
      </c>
      <c r="O93" s="45">
        <f t="shared" ca="1" si="65"/>
        <v>52.124215748921763</v>
      </c>
      <c r="P93" s="45">
        <f t="shared" ca="1" si="66"/>
        <v>67.288284431548874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5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5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7">
        <f ca="1">J102</f>
        <v>285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7">
        <f ca="1">J104</f>
        <v>95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7">
        <f ca="1">J107+J110</f>
        <v>13</v>
      </c>
      <c r="K100" s="38">
        <f t="shared" ca="1" si="71"/>
        <v>68.421052631578945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3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285)</f>
        <v>285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3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95)</f>
        <v>95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3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95)</f>
        <v>95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3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9)</f>
        <v>9</v>
      </c>
      <c r="K106" s="38">
        <f t="shared" ref="K106:K107" ca="1" si="73">IF(I106&gt;0,J106*100/I106,0)</f>
        <v>81.818181818181813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3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9)</f>
        <v>9</v>
      </c>
      <c r="K107" s="38">
        <f t="shared" ca="1" si="73"/>
        <v>81.818181818181813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3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4)</f>
        <v>4</v>
      </c>
      <c r="K109" s="38">
        <f t="shared" ref="K109:K116" ca="1" si="74">IF(I109&gt;0,J109*100/I109,0)</f>
        <v>50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3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4)</f>
        <v>4</v>
      </c>
      <c r="K110" s="38">
        <f t="shared" ca="1" si="74"/>
        <v>50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4">
        <f ca="1">J114</f>
        <v>10</v>
      </c>
      <c r="K111" s="195">
        <f t="shared" ca="1" si="74"/>
        <v>10.526315789473685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19</v>
      </c>
      <c r="J112" s="194">
        <f t="shared" ca="1" si="75"/>
        <v>2</v>
      </c>
      <c r="K112" s="195">
        <f t="shared" ca="1" si="74"/>
        <v>10.526315789473685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3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10)</f>
        <v>10</v>
      </c>
      <c r="K113" s="38">
        <f t="shared" ca="1" si="74"/>
        <v>10.526315789473685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3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10)</f>
        <v>10</v>
      </c>
      <c r="K114" s="38">
        <f t="shared" ca="1" si="74"/>
        <v>10.526315789473685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3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2)</f>
        <v>2</v>
      </c>
      <c r="K115" s="38">
        <f t="shared" ca="1" si="74"/>
        <v>18.181818181818183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3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IFERROR(__xludf.DUMMYFUNCTION("IMPORTRANGE(""https://docs.google.com/spreadsheets/d/1kC41EOXpGBFOW658Fs3oD8beYlym0-zO54WY-2Qnp9I/edit?usp=share_link"",""กระบี่!I118"")
+IMPORTRANGE(""https://docs.google.com/spreadsheets/d/1FbzMZY_f3MDiEuK7RpCQKrilJ_kpX0Wm7QBZ1L7EjIU/edit?usp=share_link"&amp;""",""ชุมพร!I118"")+IMPORTRANGE(""https://docs.google.com/spreadsheets/d/1v5sN-00LrXuhBxw4dkh2GrG_z4l5oAqOdJRBCsUyMaM/edit?usp=share_link"",""ตรัง!I118"")+IMPORTRANGE(""https://docs.google.com/spreadsheets/d/1T5rRTzFc79aSIvqnzkZNvwPstq829QYz_xALlO1Z0s8/edi"&amp;"t?usp=share_link"",""นครศรีธรรมราช!I118"")+IMPORTRANGE(""https://docs.google.com/spreadsheets/d/1BeghqumK0IvCmRd2QOy6_afsZq7ZtAGrSnVJy2u7WmY/edit?usp=share_link"",""นราธิวาส!I118"")+IMPORTRANGE(""https://docs.google.com/spreadsheets/d/1IwnW3-jjRf74MCLW-6P"&amp;"iFwMUffRQXZwZA7YM609NmRc/edit?usp=share_link"",""ปัตตานี!I118"")+IMPORTRANGE(""https://docs.google.com/spreadsheets/d/1vl4QWbWdFruual5o_wdo6ZSqXZ_it806oja4CctTLKs/edit?usp=share_link"",""พังงา!I118"")+IMPORTRANGE(""https://docs.google.com/spreadsheets/d/1"&amp;"b6QssHQp2FoAPSMKHOy273KNzAomaIKhtdlvuZ_zDNE/edit?usp=share_link"",""พัทลุง!I118"")+IMPORTRANGE(""https://docs.google.com/spreadsheets/d/1o7UZe4_OqlqtLDHrj01Z2YFRSZDf1DMy1n3XViHaxRc/edit?usp=share_link"",""ภูเก็ต!I118"")+IMPORTRANGE(""https://docs.google.c"&amp;"om/spreadsheets/d/1ctPm1vUzcUCPuOj9-eoHUD85PqINFqUB0TjdSWmR5-c/edit?usp=share_link"",""ยะลา!I118"")+IMPORTRANGE(""https://docs.google.com/spreadsheets/d/1YiDIE7Klmt8osgdapRqYWNr7iPGFSsiJqq46S7PYRE0/edit?usp=share_link"",""ระนอง!I118"")+IMPORTRANGE(""https"&amp;"://docs.google.com/spreadsheets/d/16o_4B-V7AWw_6E93bSpXj_XxVv1oVQctk-B6z1dNEWU/edit?usp=share_link"",""สงขลา!I118"")+IMPORTRANGE(""https://docs.google.com/spreadsheets/d/16cywr71Fj4fA5OGRHsZh30ZG2gwJhMAQv69oVBzYHv0/edit?usp=share_link"",""สตูล!I118"")+IMP"&amp;"ORTRANGE(""https://docs.google.com/spreadsheets/d/1vO9Sws6kMtrVtyvrAJptINXjK8TFBoX9xLYOVK_C8bQ/edit?usp=share_link"",""สุราษฎร์ธานี!I118"")"),3)</f>
        <v>3</v>
      </c>
      <c r="J118" s="144">
        <f ca="1">IFERROR(__xludf.DUMMYFUNCTION("IMPORTRANGE(""https://docs.google.com/spreadsheets/d/1kC41EOXpGBFOW658Fs3oD8beYlym0-zO54WY-2Qnp9I/edit?usp=share_link"",""กระบี่!J118"")
+IMPORTRANGE(""https://docs.google.com/spreadsheets/d/1FbzMZY_f3MDiEuK7RpCQKrilJ_kpX0Wm7QBZ1L7EjIU/edit?usp=share_link"&amp;""",""ชุมพร!J118"")+IMPORTRANGE(""https://docs.google.com/spreadsheets/d/1v5sN-00LrXuhBxw4dkh2GrG_z4l5oAqOdJRBCsUyMaM/edit?usp=share_link"",""ตรัง!J118"")+IMPORTRANGE(""https://docs.google.com/spreadsheets/d/1T5rRTzFc79aSIvqnzkZNvwPstq829QYz_xALlO1Z0s8/edi"&amp;"t?usp=share_link"",""นครศรีธรรมราช!J118"")+IMPORTRANGE(""https://docs.google.com/spreadsheets/d/1BeghqumK0IvCmRd2QOy6_afsZq7ZtAGrSnVJy2u7WmY/edit?usp=share_link"",""นราธิวาส!J118"")+IMPORTRANGE(""https://docs.google.com/spreadsheets/d/1IwnW3-jjRf74MCLW-6P"&amp;"iFwMUffRQXZwZA7YM609NmRc/edit?usp=share_link"",""ปัตตานี!J118"")+IMPORTRANGE(""https://docs.google.com/spreadsheets/d/1vl4QWbWdFruual5o_wdo6ZSqXZ_it806oja4CctTLKs/edit?usp=share_link"",""พังงา!J118"")+IMPORTRANGE(""https://docs.google.com/spreadsheets/d/1"&amp;"b6QssHQp2FoAPSMKHOy273KNzAomaIKhtdlvuZ_zDNE/edit?usp=share_link"",""พัทลุง!J118"")+IMPORTRANGE(""https://docs.google.com/spreadsheets/d/1o7UZe4_OqlqtLDHrj01Z2YFRSZDf1DMy1n3XViHaxRc/edit?usp=share_link"",""ภูเก็ต!J118"")+IMPORTRANGE(""https://docs.google.c"&amp;"om/spreadsheets/d/1ctPm1vUzcUCPuOj9-eoHUD85PqINFqUB0TjdSWmR5-c/edit?usp=share_link"",""ยะลา!J118"")+IMPORTRANGE(""https://docs.google.com/spreadsheets/d/1YiDIE7Klmt8osgdapRqYWNr7iPGFSsiJqq46S7PYRE0/edit?usp=share_link"",""ระนอง!J118"")+IMPORTRANGE(""https"&amp;"://docs.google.com/spreadsheets/d/16o_4B-V7AWw_6E93bSpXj_XxVv1oVQctk-B6z1dNEWU/edit?usp=share_link"",""สงขลา!J118"")+IMPORTRANGE(""https://docs.google.com/spreadsheets/d/16cywr71Fj4fA5OGRHsZh30ZG2gwJhMAQv69oVBzYHv0/edit?usp=share_link"",""สตูล!J118"")+IMP"&amp;"ORTRANGE(""https://docs.google.com/spreadsheets/d/1vO9Sws6kMtrVtyvrAJptINXjK8TFBoX9xLYOVK_C8bQ/edit?usp=share_link"",""สุราษฎร์ธานี!J118"")"),3)</f>
        <v>3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42000</v>
      </c>
      <c r="M119" s="155">
        <f t="shared" ca="1" si="76"/>
        <v>42000</v>
      </c>
      <c r="N119" s="155">
        <f t="shared" ca="1" si="76"/>
        <v>42000</v>
      </c>
      <c r="O119" s="155">
        <f t="shared" ref="O119:O127" ca="1" si="77">IF(L119&gt;0,N119*100/L119,0)</f>
        <v>100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42000</v>
      </c>
      <c r="M121" s="45">
        <f t="shared" ca="1" si="80"/>
        <v>42000</v>
      </c>
      <c r="N121" s="45">
        <f t="shared" ca="1" si="80"/>
        <v>42000</v>
      </c>
      <c r="O121" s="45">
        <f t="shared" ca="1" si="77"/>
        <v>100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5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5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42000</v>
      </c>
      <c r="M125" s="38">
        <f t="shared" ca="1" si="82"/>
        <v>42000</v>
      </c>
      <c r="N125" s="38">
        <f t="shared" ca="1" si="82"/>
        <v>42000</v>
      </c>
      <c r="O125" s="38">
        <f t="shared" ca="1" si="77"/>
        <v>100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5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5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5">
        <f t="shared" ca="1" si="77"/>
        <v>100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9</v>
      </c>
      <c r="J130" s="144">
        <f t="shared" ca="1" si="83"/>
        <v>6</v>
      </c>
      <c r="K130" s="145">
        <f t="shared" ref="K130:K131" ca="1" si="84">IF(I130&gt;0,J130*100/I130,0)</f>
        <v>66.666666666666671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90</v>
      </c>
      <c r="J131" s="144">
        <f t="shared" ca="1" si="85"/>
        <v>90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2365095</v>
      </c>
      <c r="M132" s="155">
        <f t="shared" ca="1" si="86"/>
        <v>2066000</v>
      </c>
      <c r="N132" s="155">
        <f t="shared" ca="1" si="86"/>
        <v>1616943.77</v>
      </c>
      <c r="O132" s="155">
        <f t="shared" ref="O132:O140" ca="1" si="87">IF(L132&gt;0,N132*100/L132,0)</f>
        <v>68.366969191512396</v>
      </c>
      <c r="P132" s="155">
        <f t="shared" ref="P132:P140" ca="1" si="88">IF(M132&gt;0,N132*100/M132,0)</f>
        <v>78.264461277831558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2365095</v>
      </c>
      <c r="M134" s="45">
        <f t="shared" ca="1" si="90"/>
        <v>2066000</v>
      </c>
      <c r="N134" s="45">
        <f t="shared" ca="1" si="90"/>
        <v>1616943.77</v>
      </c>
      <c r="O134" s="45">
        <f t="shared" ca="1" si="87"/>
        <v>68.366969191512396</v>
      </c>
      <c r="P134" s="45">
        <f t="shared" ca="1" si="88"/>
        <v>78.264461277831558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1438095</v>
      </c>
      <c r="M135" s="38">
        <f t="shared" ca="1" si="91"/>
        <v>1145000</v>
      </c>
      <c r="N135" s="38">
        <f t="shared" ca="1" si="91"/>
        <v>695943.77</v>
      </c>
      <c r="O135" s="38">
        <f t="shared" ca="1" si="87"/>
        <v>48.393448972425325</v>
      </c>
      <c r="P135" s="38">
        <f t="shared" ca="1" si="88"/>
        <v>60.781115283842794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5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1145000)</f>
        <v>1145000</v>
      </c>
      <c r="N137" s="45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695943.77)</f>
        <v>695943.77</v>
      </c>
      <c r="O137" s="45">
        <f t="shared" ca="1" si="87"/>
        <v>48.393448972425325</v>
      </c>
      <c r="P137" s="45">
        <f t="shared" ca="1" si="88"/>
        <v>60.781115283842794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927000</v>
      </c>
      <c r="M138" s="38">
        <f t="shared" ca="1" si="92"/>
        <v>921000</v>
      </c>
      <c r="N138" s="38">
        <f t="shared" ca="1" si="92"/>
        <v>921000</v>
      </c>
      <c r="O138" s="38">
        <f t="shared" ca="1" si="87"/>
        <v>99.35275080906149</v>
      </c>
      <c r="P138" s="38">
        <f t="shared" ca="1" si="88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5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921000)</f>
        <v>921000</v>
      </c>
      <c r="N140" s="45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921000)</f>
        <v>921000</v>
      </c>
      <c r="O140" s="45">
        <f t="shared" ca="1" si="87"/>
        <v>99.35275080906149</v>
      </c>
      <c r="P140" s="45">
        <f t="shared" ca="1" si="88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10)</f>
        <v>10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90</v>
      </c>
      <c r="J143" s="37">
        <f ca="1">IFERROR(__xludf.DUMMYFUNCTION("IMPORTRANGE(""https://docs.google.com/spreadsheets/d/1kC41EOXpGBFOW658Fs3oD8beYlym0-zO54WY-2Qnp9I/edit?usp=share_link"",""กระบี่!J143"")
+IMPORTRANGE(""https://docs.google.com/spreadsheets/d/1FbzMZY_f3MDiEuK7RpCQKrilJ_kpX0Wm7QBZ1L7EjIU/edit?usp=share_link"&amp;""",""ชุมพร!J143"")+IMPORTRANGE(""https://docs.google.com/spreadsheets/d/1v5sN-00LrXuhBxw4dkh2GrG_z4l5oAqOdJRBCsUyMaM/edit?usp=share_link"",""ตรัง!J143"")+IMPORTRANGE(""https://docs.google.com/spreadsheets/d/1T5rRTzFc79aSIvqnzkZNvwPstq829QYz_xALlO1Z0s8/edi"&amp;"t?usp=share_link"",""นครศรีธรรมราช!J143"")+IMPORTRANGE(""https://docs.google.com/spreadsheets/d/1BeghqumK0IvCmRd2QOy6_afsZq7ZtAGrSnVJy2u7WmY/edit?usp=share_link"",""นราธิวาส!J143"")+IMPORTRANGE(""https://docs.google.com/spreadsheets/d/1IwnW3-jjRf74MCLW-6P"&amp;"iFwMUffRQXZwZA7YM609NmRc/edit?usp=share_link"",""ปัตตานี!J143"")+IMPORTRANGE(""https://docs.google.com/spreadsheets/d/1vl4QWbWdFruual5o_wdo6ZSqXZ_it806oja4CctTLKs/edit?usp=share_link"",""พังงา!J143"")+IMPORTRANGE(""https://docs.google.com/spreadsheets/d/1"&amp;"b6QssHQp2FoAPSMKHOy273KNzAomaIKhtdlvuZ_zDNE/edit?usp=share_link"",""พัทลุง!J143"")+IMPORTRANGE(""https://docs.google.com/spreadsheets/d/1o7UZe4_OqlqtLDHrj01Z2YFRSZDf1DMy1n3XViHaxRc/edit?usp=share_link"",""ภูเก็ต!J143"")+IMPORTRANGE(""https://docs.google.c"&amp;"om/spreadsheets/d/1ctPm1vUzcUCPuOj9-eoHUD85PqINFqUB0TjdSWmR5-c/edit?usp=share_link"",""ยะลา!J143"")+IMPORTRANGE(""https://docs.google.com/spreadsheets/d/1YiDIE7Klmt8osgdapRqYWNr7iPGFSsiJqq46S7PYRE0/edit?usp=share_link"",""ระนอง!J143"")+IMPORTRANGE(""https"&amp;"://docs.google.com/spreadsheets/d/16o_4B-V7AWw_6E93bSpXj_XxVv1oVQctk-B6z1dNEWU/edit?usp=share_link"",""สงขลา!J143"")+IMPORTRANGE(""https://docs.google.com/spreadsheets/d/16cywr71Fj4fA5OGRHsZh30ZG2gwJhMAQv69oVBzYHv0/edit?usp=share_link"",""สตูล!J143"")+IMP"&amp;"ORTRANGE(""https://docs.google.com/spreadsheets/d/1vO9Sws6kMtrVtyvrAJptINXjK8TFBoX9xLYOVK_C8bQ/edit?usp=share_link"",""สุราษฎร์ธานี!J143"")"),90)</f>
        <v>90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3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55)</f>
        <v>55</v>
      </c>
      <c r="K144" s="38">
        <f t="shared" ca="1" si="93"/>
        <v>122.22222222222223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3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90)</f>
        <v>90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3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6)</f>
        <v>6</v>
      </c>
      <c r="K146" s="38">
        <f t="shared" ca="1" si="93"/>
        <v>66.666666666666671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40</v>
      </c>
      <c r="J148" s="144">
        <f t="shared" ca="1" si="94"/>
        <v>20</v>
      </c>
      <c r="K148" s="145">
        <f ca="1">IF(I148&gt;0,J148*100/I148,0)</f>
        <v>50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20000</v>
      </c>
      <c r="M149" s="155">
        <f t="shared" ca="1" si="95"/>
        <v>55820</v>
      </c>
      <c r="N149" s="155">
        <f t="shared" ca="1" si="95"/>
        <v>40452</v>
      </c>
      <c r="O149" s="155">
        <f t="shared" ref="O149:O157" ca="1" si="96">IF(L149&gt;0,N149*100/L149,0)</f>
        <v>202.26</v>
      </c>
      <c r="P149" s="155">
        <f t="shared" ref="P149:P157" ca="1" si="97">IF(M149&gt;0,N149*100/M149,0)</f>
        <v>72.468649229666781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20000</v>
      </c>
      <c r="M151" s="45">
        <f t="shared" ca="1" si="99"/>
        <v>55820</v>
      </c>
      <c r="N151" s="45">
        <f t="shared" ca="1" si="99"/>
        <v>40452</v>
      </c>
      <c r="O151" s="45">
        <f t="shared" ca="1" si="96"/>
        <v>202.26</v>
      </c>
      <c r="P151" s="45">
        <f t="shared" ca="1" si="97"/>
        <v>72.468649229666781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20000</v>
      </c>
      <c r="M152" s="38">
        <f t="shared" ca="1" si="100"/>
        <v>55820</v>
      </c>
      <c r="N152" s="38">
        <f t="shared" ca="1" si="100"/>
        <v>40452</v>
      </c>
      <c r="O152" s="38">
        <f t="shared" ca="1" si="96"/>
        <v>202.26</v>
      </c>
      <c r="P152" s="38">
        <f t="shared" ca="1" si="97"/>
        <v>72.468649229666781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5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55820)</f>
        <v>55820</v>
      </c>
      <c r="N154" s="45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40452)</f>
        <v>40452</v>
      </c>
      <c r="O154" s="45">
        <f t="shared" ca="1" si="96"/>
        <v>202.26</v>
      </c>
      <c r="P154" s="45">
        <f t="shared" ca="1" si="97"/>
        <v>72.468649229666781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5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5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3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20)</f>
        <v>20</v>
      </c>
      <c r="K159" s="38">
        <f ca="1">IF(I159&gt;0,J159*100/I159,0)</f>
        <v>50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139</v>
      </c>
      <c r="J164" s="253">
        <f t="shared" ca="1" si="102"/>
        <v>139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271695</v>
      </c>
      <c r="M165" s="155">
        <f t="shared" ca="1" si="103"/>
        <v>499895</v>
      </c>
      <c r="N165" s="155">
        <f t="shared" ca="1" si="103"/>
        <v>495219</v>
      </c>
      <c r="O165" s="155">
        <f t="shared" ref="O165:O173" ca="1" si="104">IF(L165&gt;0,N165*100/L165,0)</f>
        <v>182.27019267929111</v>
      </c>
      <c r="P165" s="155">
        <f t="shared" ref="P165:P173" ca="1" si="105">IF(M165&gt;0,N165*100/M165,0)</f>
        <v>99.064603566749014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271695</v>
      </c>
      <c r="M167" s="45">
        <f t="shared" ca="1" si="107"/>
        <v>499895</v>
      </c>
      <c r="N167" s="45">
        <f t="shared" ca="1" si="107"/>
        <v>495219</v>
      </c>
      <c r="O167" s="45">
        <f t="shared" ca="1" si="104"/>
        <v>182.27019267929111</v>
      </c>
      <c r="P167" s="45">
        <f t="shared" ca="1" si="105"/>
        <v>99.064603566749014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271695</v>
      </c>
      <c r="M168" s="38">
        <f t="shared" ca="1" si="108"/>
        <v>499895</v>
      </c>
      <c r="N168" s="38">
        <f t="shared" ca="1" si="108"/>
        <v>495219</v>
      </c>
      <c r="O168" s="38">
        <f t="shared" ca="1" si="104"/>
        <v>182.27019267929111</v>
      </c>
      <c r="P168" s="38">
        <f t="shared" ca="1" si="105"/>
        <v>99.064603566749014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5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499895)</f>
        <v>499895</v>
      </c>
      <c r="N170" s="45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495219)</f>
        <v>495219</v>
      </c>
      <c r="O170" s="45">
        <f t="shared" ca="1" si="104"/>
        <v>182.27019267929111</v>
      </c>
      <c r="P170" s="45">
        <f t="shared" ca="1" si="105"/>
        <v>99.064603566749014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5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5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139</v>
      </c>
      <c r="J174" s="261">
        <f t="shared" ca="1" si="110"/>
        <v>139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3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139)</f>
        <v>139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140</v>
      </c>
      <c r="J180" s="253">
        <f t="shared" ca="1" si="111"/>
        <v>150</v>
      </c>
      <c r="K180" s="254">
        <f ca="1">IF(I180&gt;0,J180*100/I180,0)</f>
        <v>107.14285714285714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2070000</v>
      </c>
      <c r="M181" s="155">
        <f t="shared" ca="1" si="112"/>
        <v>1698905</v>
      </c>
      <c r="N181" s="155">
        <f t="shared" ca="1" si="112"/>
        <v>1184307.33</v>
      </c>
      <c r="O181" s="155">
        <f t="shared" ref="O181:O189" ca="1" si="113">IF(L181&gt;0,N181*100/L181,0)</f>
        <v>57.212914492753626</v>
      </c>
      <c r="P181" s="155">
        <f t="shared" ref="P181:P189" ca="1" si="114">IF(M181&gt;0,N181*100/M181,0)</f>
        <v>69.710038524814507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2070000</v>
      </c>
      <c r="M183" s="45">
        <f t="shared" ca="1" si="116"/>
        <v>1698905</v>
      </c>
      <c r="N183" s="45">
        <f t="shared" ca="1" si="116"/>
        <v>1184307.33</v>
      </c>
      <c r="O183" s="45">
        <f t="shared" ca="1" si="113"/>
        <v>57.212914492753626</v>
      </c>
      <c r="P183" s="45">
        <f t="shared" ca="1" si="114"/>
        <v>69.710038524814507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2070000</v>
      </c>
      <c r="M184" s="38">
        <f t="shared" ca="1" si="117"/>
        <v>1698905</v>
      </c>
      <c r="N184" s="38">
        <f t="shared" ca="1" si="117"/>
        <v>1184307.33</v>
      </c>
      <c r="O184" s="38">
        <f t="shared" ca="1" si="113"/>
        <v>57.212914492753626</v>
      </c>
      <c r="P184" s="38">
        <f t="shared" ca="1" si="114"/>
        <v>69.710038524814507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5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1698905)</f>
        <v>1698905</v>
      </c>
      <c r="N186" s="45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1184307.33)</f>
        <v>1184307.33</v>
      </c>
      <c r="O186" s="45">
        <f t="shared" ca="1" si="113"/>
        <v>57.212914492753626</v>
      </c>
      <c r="P186" s="45">
        <f t="shared" ca="1" si="114"/>
        <v>69.710038524814507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5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5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56</v>
      </c>
      <c r="J190" s="272">
        <f t="shared" ca="1" si="119"/>
        <v>27</v>
      </c>
      <c r="K190" s="273">
        <f ca="1">IF(I190&gt;0,J190*100/I190,0)</f>
        <v>48.214285714285715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5"/>
      <c r="N191" s="276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27164)</f>
        <v>27164</v>
      </c>
      <c r="O191" s="155">
        <f ca="1">IF(L191&gt;0,N191*100/L191,0)</f>
        <v>32.338095238095235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3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27)</f>
        <v>27</v>
      </c>
      <c r="K193" s="38">
        <f ca="1">IF(I193&gt;0,J193*100/I193,0)</f>
        <v>48.214285714285715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995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995)</f>
        <v>995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28</v>
      </c>
      <c r="J197" s="272">
        <f t="shared" ca="1" si="120"/>
        <v>28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374000</v>
      </c>
      <c r="M198" s="155"/>
      <c r="N198" s="155">
        <f ca="1">N199+N200+N201+N202</f>
        <v>288802.62</v>
      </c>
      <c r="O198" s="155">
        <f ca="1">IF(L198&gt;0,N198*100/L198,0)</f>
        <v>77.219951871657756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8"/>
      <c r="N199" s="283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15539)</f>
        <v>15539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8"/>
      <c r="N200" s="283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225173.62)</f>
        <v>225173.62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20.25" customHeight="1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8"/>
      <c r="N201" s="283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48090)</f>
        <v>48090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20.25" customHeight="1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8"/>
      <c r="N202" s="283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3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28)</f>
        <v>28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3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17)</f>
        <v>17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3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0)</f>
        <v>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1">I215</f>
        <v>10</v>
      </c>
      <c r="J208" s="272">
        <f t="shared" ca="1" si="121"/>
        <v>10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140000</v>
      </c>
      <c r="M209" s="155"/>
      <c r="N209" s="155">
        <f ca="1">N210+N211+N212</f>
        <v>81805</v>
      </c>
      <c r="O209" s="155">
        <f ca="1">IF(L209&gt;0,N209*100/L209,0)</f>
        <v>58.432142857142857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8"/>
      <c r="N210" s="283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1500)</f>
        <v>1500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8"/>
      <c r="N211" s="283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0)</f>
        <v>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20.25" customHeight="1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8"/>
      <c r="N212" s="283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80305)</f>
        <v>80305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20.25" customHeight="1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3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1)</f>
        <v>1</v>
      </c>
      <c r="K214" s="38">
        <f t="shared" ref="K214:K216" ca="1" si="122">IF(I214&gt;0,J214*100/I214,0)</f>
        <v>10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3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10)</f>
        <v>10</v>
      </c>
      <c r="K215" s="38">
        <f t="shared" ca="1" si="12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3">I224</f>
        <v>239000</v>
      </c>
      <c r="J216" s="272">
        <f t="shared" ca="1" si="123"/>
        <v>5000</v>
      </c>
      <c r="K216" s="273">
        <f t="shared" ca="1" si="122"/>
        <v>2.0920502092050208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153600</v>
      </c>
      <c r="M217" s="155"/>
      <c r="N217" s="155">
        <f ca="1">N218+N219+N220</f>
        <v>39176.699999999997</v>
      </c>
      <c r="O217" s="155">
        <f ca="1">IF(L217&gt;0,N217*100/L217,0)</f>
        <v>25.505664062499996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8"/>
      <c r="N218" s="283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2970)</f>
        <v>2970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8"/>
      <c r="N219" s="283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20.25" customHeight="1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8"/>
      <c r="N220" s="283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36206.7)</f>
        <v>36206.699999999997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20.25" customHeight="1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3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70000)</f>
        <v>70000</v>
      </c>
      <c r="K223" s="163">
        <f t="shared" ref="K223:K226" ca="1" si="124">IF(I223&gt;0,J223*100/I223,0)</f>
        <v>29.288702928870293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3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5000)</f>
        <v>5000</v>
      </c>
      <c r="K224" s="163">
        <f t="shared" ca="1" si="124"/>
        <v>2.0920502092050208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3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40)</f>
        <v>40</v>
      </c>
      <c r="K225" s="163">
        <f t="shared" ca="1" si="12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5">I237+I248</f>
        <v>100</v>
      </c>
      <c r="J226" s="299">
        <f t="shared" ca="1" si="125"/>
        <v>110</v>
      </c>
      <c r="K226" s="300">
        <f t="shared" ca="1" si="124"/>
        <v>110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0.25" customHeight="1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6">L238+L249</f>
        <v>293300</v>
      </c>
      <c r="M227" s="311"/>
      <c r="N227" s="311">
        <f t="shared" ref="N227:N231" ca="1" si="127">N238+N249</f>
        <v>159552.33000000002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20.25" customHeight="1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6"/>
        <v>165000</v>
      </c>
      <c r="M228" s="322"/>
      <c r="N228" s="322">
        <f t="shared" ca="1" si="127"/>
        <v>74013.33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20.25" customHeight="1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6"/>
        <v>88300</v>
      </c>
      <c r="M229" s="322"/>
      <c r="N229" s="322">
        <f t="shared" ca="1" si="127"/>
        <v>85539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6"/>
        <v>0</v>
      </c>
      <c r="M230" s="322"/>
      <c r="N230" s="322">
        <f t="shared" ca="1" si="127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6"/>
        <v>40000</v>
      </c>
      <c r="M231" s="322"/>
      <c r="N231" s="322">
        <f t="shared" ca="1" si="127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8">I244+I255</f>
        <v>100</v>
      </c>
      <c r="J233" s="326">
        <f t="shared" ca="1" si="128"/>
        <v>110</v>
      </c>
      <c r="K233" s="322">
        <f ca="1">IF(I233&gt;0,J233*100/I233,0)</f>
        <v>110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29">I246+I257</f>
        <v>0</v>
      </c>
      <c r="J235" s="326">
        <f t="shared" ca="1" si="129"/>
        <v>0</v>
      </c>
      <c r="K235" s="322">
        <f t="shared" ref="K235:K237" ca="1" si="130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1">I247+I258</f>
        <v>4</v>
      </c>
      <c r="J236" s="326">
        <f t="shared" ca="1" si="131"/>
        <v>0</v>
      </c>
      <c r="K236" s="322">
        <f t="shared" ca="1" si="130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2">I244</f>
        <v>100</v>
      </c>
      <c r="J237" s="345">
        <f t="shared" ca="1" si="132"/>
        <v>110</v>
      </c>
      <c r="K237" s="346">
        <f t="shared" ca="1" si="130"/>
        <v>110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293300</v>
      </c>
      <c r="M238" s="356"/>
      <c r="N238" s="356">
        <f ca="1">N239+N240+N241+N242</f>
        <v>159552.33000000002</v>
      </c>
      <c r="O238" s="356">
        <f ca="1">IF(L238&gt;0,N238*100/L238,0)</f>
        <v>54.39902147971361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5"/>
      <c r="N239" s="358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74013.33)</f>
        <v>74013.33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5"/>
      <c r="N240" s="358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85539)</f>
        <v>85539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5"/>
      <c r="N241" s="358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5"/>
      <c r="N242" s="358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0)</f>
        <v>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71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110)</f>
        <v>110</v>
      </c>
      <c r="K244" s="45">
        <f ca="1">IF(I244&gt;0,J244*100/I244,0)</f>
        <v>110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71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5">
        <f t="shared" ref="K246:K248" ca="1" si="133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71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0)</f>
        <v>0</v>
      </c>
      <c r="K247" s="45">
        <f t="shared" ca="1" si="133"/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t="shared" ca="1" si="133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5"/>
      <c r="N250" s="358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5"/>
      <c r="N251" s="358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5"/>
      <c r="N252" s="358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5"/>
      <c r="N253" s="358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71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71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71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286</v>
      </c>
      <c r="J260" s="253">
        <f t="shared" ca="1" si="136"/>
        <v>38</v>
      </c>
      <c r="K260" s="254">
        <f ca="1">IF(I260&gt;0,J260*100/I260,0)</f>
        <v>13.286713286713287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641700</v>
      </c>
      <c r="M261" s="155">
        <f t="shared" ca="1" si="137"/>
        <v>250100</v>
      </c>
      <c r="N261" s="155">
        <f t="shared" ca="1" si="137"/>
        <v>152970.94</v>
      </c>
      <c r="O261" s="155">
        <f t="shared" ref="O261:O269" ca="1" si="138">IF(L261&gt;0,N261*100/L261,0)</f>
        <v>23.8383886551348</v>
      </c>
      <c r="P261" s="155">
        <f t="shared" ref="P261:P269" ca="1" si="139">IF(M261&gt;0,N261*100/M261,0)</f>
        <v>61.16391043582567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641700</v>
      </c>
      <c r="M263" s="45">
        <f t="shared" ca="1" si="141"/>
        <v>250100</v>
      </c>
      <c r="N263" s="45">
        <f t="shared" ca="1" si="141"/>
        <v>152970.94</v>
      </c>
      <c r="O263" s="45">
        <f t="shared" ca="1" si="138"/>
        <v>23.8383886551348</v>
      </c>
      <c r="P263" s="45">
        <f t="shared" ca="1" si="139"/>
        <v>61.16391043582567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641700</v>
      </c>
      <c r="M264" s="38">
        <f t="shared" ca="1" si="142"/>
        <v>250100</v>
      </c>
      <c r="N264" s="38">
        <f t="shared" ca="1" si="142"/>
        <v>152970.94</v>
      </c>
      <c r="O264" s="38">
        <f t="shared" ca="1" si="138"/>
        <v>23.8383886551348</v>
      </c>
      <c r="P264" s="38">
        <f t="shared" ca="1" si="139"/>
        <v>61.16391043582567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5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250100)</f>
        <v>250100</v>
      </c>
      <c r="N266" s="45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152970.94)</f>
        <v>152970.94</v>
      </c>
      <c r="O266" s="45">
        <f t="shared" ca="1" si="138"/>
        <v>23.8383886551348</v>
      </c>
      <c r="P266" s="45">
        <f t="shared" ca="1" si="139"/>
        <v>61.16391043582567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5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5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3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38)</f>
        <v>38</v>
      </c>
      <c r="K271" s="163">
        <f ca="1">IF(I271&gt;0,J271*100/I271,0)</f>
        <v>13.286713286713287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20</v>
      </c>
      <c r="J275" s="406">
        <f t="shared" ca="1" si="144"/>
        <v>20</v>
      </c>
      <c r="K275" s="407">
        <f t="shared" ref="K275:K276" ca="1" si="145">IF(I275&gt;0,J275*100/I275,0)</f>
        <v>100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46">I287</f>
        <v>200</v>
      </c>
      <c r="J276" s="410">
        <f t="shared" ca="1" si="146"/>
        <v>100</v>
      </c>
      <c r="K276" s="408">
        <f t="shared" ca="1" si="145"/>
        <v>50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86270</v>
      </c>
      <c r="M277" s="155">
        <f t="shared" ca="1" si="147"/>
        <v>86270</v>
      </c>
      <c r="N277" s="155">
        <f t="shared" ca="1" si="147"/>
        <v>65105</v>
      </c>
      <c r="O277" s="155">
        <f t="shared" ref="O277:O285" ca="1" si="148">IF(L277&gt;0,N277*100/L277,0)</f>
        <v>75.466558479193225</v>
      </c>
      <c r="P277" s="155">
        <f t="shared" ref="P277:P285" ca="1" si="149">IF(M277&gt;0,N277*100/M277,0)</f>
        <v>75.466558479193225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86270</v>
      </c>
      <c r="M279" s="45">
        <f t="shared" ca="1" si="151"/>
        <v>86270</v>
      </c>
      <c r="N279" s="45">
        <f t="shared" ca="1" si="151"/>
        <v>65105</v>
      </c>
      <c r="O279" s="45">
        <f t="shared" ca="1" si="148"/>
        <v>75.466558479193225</v>
      </c>
      <c r="P279" s="45">
        <f t="shared" ca="1" si="149"/>
        <v>75.466558479193225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86270</v>
      </c>
      <c r="M280" s="38">
        <f t="shared" ca="1" si="152"/>
        <v>86270</v>
      </c>
      <c r="N280" s="38">
        <f t="shared" ca="1" si="152"/>
        <v>65105</v>
      </c>
      <c r="O280" s="38">
        <f t="shared" ca="1" si="148"/>
        <v>75.466558479193225</v>
      </c>
      <c r="P280" s="38">
        <f t="shared" ca="1" si="149"/>
        <v>75.466558479193225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5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86270)</f>
        <v>86270</v>
      </c>
      <c r="N282" s="45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65105)</f>
        <v>65105</v>
      </c>
      <c r="O282" s="45">
        <f t="shared" ca="1" si="148"/>
        <v>75.466558479193225</v>
      </c>
      <c r="P282" s="45">
        <f t="shared" ca="1" si="149"/>
        <v>75.466558479193225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5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5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3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100)</f>
        <v>100</v>
      </c>
      <c r="K287" s="163">
        <f t="shared" ref="K287:K288" ca="1" si="154">IF(I287&gt;0,J287*100/I287,0)</f>
        <v>50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1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4">
        <f ca="1">IFERROR(__xludf.DUMMYFUNCTION("IMPORTRANGE(""https://docs.google.com/spreadsheets/d/1kC41EOXpGBFOW658Fs3oD8beYlym0-zO54WY-2Qnp9I/edit?usp=share_link"",""กระบี่!J288"")
+IMPORTRANGE(""https://docs.google.com/spreadsheets/d/1FbzMZY_f3MDiEuK7RpCQKrilJ_kpX0Wm7QBZ1L7EjIU/edit?usp=share_link"&amp;""",""ชุมพร!J288"")+IMPORTRANGE(""https://docs.google.com/spreadsheets/d/1v5sN-00LrXuhBxw4dkh2GrG_z4l5oAqOdJRBCsUyMaM/edit?usp=share_link"",""ตรัง!J288"")+IMPORTRANGE(""https://docs.google.com/spreadsheets/d/1T5rRTzFc79aSIvqnzkZNvwPstq829QYz_xALlO1Z0s8/edi"&amp;"t?usp=share_link"",""นครศรีธรรมราช!J288"")+IMPORTRANGE(""https://docs.google.com/spreadsheets/d/1BeghqumK0IvCmRd2QOy6_afsZq7ZtAGrSnVJy2u7WmY/edit?usp=share_link"",""นราธิวาส!J288"")+IMPORTRANGE(""https://docs.google.com/spreadsheets/d/1IwnW3-jjRf74MCLW-6P"&amp;"iFwMUffRQXZwZA7YM609NmRc/edit?usp=share_link"",""ปัตตานี!J288"")+IMPORTRANGE(""https://docs.google.com/spreadsheets/d/1vl4QWbWdFruual5o_wdo6ZSqXZ_it806oja4CctTLKs/edit?usp=share_link"",""พังงา!J288"")+IMPORTRANGE(""https://docs.google.com/spreadsheets/d/1"&amp;"b6QssHQp2FoAPSMKHOy273KNzAomaIKhtdlvuZ_zDNE/edit?usp=share_link"",""พัทลุง!J288"")+IMPORTRANGE(""https://docs.google.com/spreadsheets/d/1o7UZe4_OqlqtLDHrj01Z2YFRSZDf1DMy1n3XViHaxRc/edit?usp=share_link"",""ภูเก็ต!J288"")+IMPORTRANGE(""https://docs.google.c"&amp;"om/spreadsheets/d/1ctPm1vUzcUCPuOj9-eoHUD85PqINFqUB0TjdSWmR5-c/edit?usp=share_link"",""ยะลา!J288"")+IMPORTRANGE(""https://docs.google.com/spreadsheets/d/1YiDIE7Klmt8osgdapRqYWNr7iPGFSsiJqq46S7PYRE0/edit?usp=share_link"",""ระนอง!J288"")+IMPORTRANGE(""https"&amp;"://docs.google.com/spreadsheets/d/16o_4B-V7AWw_6E93bSpXj_XxVv1oVQctk-B6z1dNEWU/edit?usp=share_link"",""สงขลา!J288"")+IMPORTRANGE(""https://docs.google.com/spreadsheets/d/16cywr71Fj4fA5OGRHsZh30ZG2gwJhMAQv69oVBzYHv0/edit?usp=share_link"",""สตูล!J288"")+IMP"&amp;"ORTRANGE(""https://docs.google.com/spreadsheets/d/1vO9Sws6kMtrVtyvrAJptINXjK8TFBoX9xLYOVK_C8bQ/edit?usp=share_link"",""สุราษฎร์ธานี!J288"")"),20)</f>
        <v>20</v>
      </c>
      <c r="K288" s="412">
        <f t="shared" ca="1" si="154"/>
        <v>100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3"/>
      <c r="E289" s="414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3"/>
      <c r="E290" s="411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3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20)</f>
        <v>20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1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3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20)</f>
        <v>20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20.25" customHeight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3"/>
      <c r="E293" s="411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3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20)</f>
        <v>20</v>
      </c>
      <c r="K293" s="163">
        <f t="shared" ref="K293:K294" ca="1" si="156">IF(I293&gt;0,J293*100/I293,0)</f>
        <v>100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425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20)</f>
        <v>20</v>
      </c>
      <c r="K294" s="385">
        <f t="shared" ca="1" si="156"/>
        <v>100</v>
      </c>
      <c r="L294" s="385"/>
      <c r="M294" s="385"/>
      <c r="N294" s="385"/>
      <c r="O294" s="385"/>
      <c r="P294" s="385"/>
    </row>
    <row r="295" spans="1:26" ht="20.25" customHeight="1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20.25" customHeight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20.25" customHeight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57">I309</f>
        <v>100</v>
      </c>
      <c r="J297" s="445">
        <f t="shared" ca="1" si="157"/>
        <v>100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412000</v>
      </c>
      <c r="M298" s="155">
        <f t="shared" ca="1" si="158"/>
        <v>322000</v>
      </c>
      <c r="N298" s="155">
        <f t="shared" ca="1" si="158"/>
        <v>258625</v>
      </c>
      <c r="O298" s="155">
        <f t="shared" ref="O298:O306" ca="1" si="159">IF(L298&gt;0,N298*100/L298,0)</f>
        <v>62.773058252427184</v>
      </c>
      <c r="P298" s="155">
        <f t="shared" ref="P298:P306" ca="1" si="160">IF(M298&gt;0,N298*100/M298,0)</f>
        <v>80.318322981366464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412000</v>
      </c>
      <c r="M300" s="45">
        <f t="shared" ca="1" si="162"/>
        <v>322000</v>
      </c>
      <c r="N300" s="45">
        <f t="shared" ca="1" si="162"/>
        <v>258625</v>
      </c>
      <c r="O300" s="45">
        <f t="shared" ca="1" si="159"/>
        <v>62.773058252427184</v>
      </c>
      <c r="P300" s="45">
        <f t="shared" ca="1" si="160"/>
        <v>80.318322981366464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412000</v>
      </c>
      <c r="M301" s="38">
        <f t="shared" ca="1" si="163"/>
        <v>322000</v>
      </c>
      <c r="N301" s="38">
        <f t="shared" ca="1" si="163"/>
        <v>258625</v>
      </c>
      <c r="O301" s="38">
        <f t="shared" ca="1" si="159"/>
        <v>62.773058252427184</v>
      </c>
      <c r="P301" s="38">
        <f t="shared" ca="1" si="160"/>
        <v>80.318322981366464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5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322000)</f>
        <v>322000</v>
      </c>
      <c r="N303" s="45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258625)</f>
        <v>258625</v>
      </c>
      <c r="O303" s="45">
        <f t="shared" ca="1" si="159"/>
        <v>62.773058252427184</v>
      </c>
      <c r="P303" s="45">
        <f t="shared" ca="1" si="160"/>
        <v>80.318322981366464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5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5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8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3)</f>
        <v>3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3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100)</f>
        <v>100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8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3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80)</f>
        <v>80</v>
      </c>
      <c r="K310" s="38">
        <f t="shared" ca="1" si="165"/>
        <v>80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8" t="s">
        <v>59</v>
      </c>
      <c r="E311" s="177"/>
      <c r="F311" s="177"/>
      <c r="G311" s="179"/>
      <c r="H311" s="449" t="s">
        <v>35</v>
      </c>
      <c r="I311" s="37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3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0)</f>
        <v>0</v>
      </c>
      <c r="K311" s="38">
        <f t="shared" ca="1" si="165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8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3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4)</f>
        <v>4</v>
      </c>
      <c r="K312" s="38">
        <f t="shared" ca="1" si="165"/>
        <v>20</v>
      </c>
      <c r="L312" s="38"/>
      <c r="M312" s="38"/>
      <c r="N312" s="38"/>
      <c r="O312" s="38"/>
      <c r="P312" s="38"/>
    </row>
    <row r="313" spans="1:26" ht="20.25" customHeight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20.25" customHeight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66">I325</f>
        <v>5</v>
      </c>
      <c r="J314" s="445">
        <f t="shared" ca="1" si="166"/>
        <v>5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4641000</v>
      </c>
      <c r="M315" s="155">
        <f t="shared" ca="1" si="167"/>
        <v>4432900</v>
      </c>
      <c r="N315" s="155">
        <f t="shared" ca="1" si="167"/>
        <v>4086820.8899999997</v>
      </c>
      <c r="O315" s="155">
        <f t="shared" ref="O315:O323" ca="1" si="168">IF(L315&gt;0,N315*100/L315,0)</f>
        <v>88.059058177116981</v>
      </c>
      <c r="P315" s="155">
        <f t="shared" ref="P315:P323" ca="1" si="169">IF(M315&gt;0,N315*100/M315,0)</f>
        <v>92.192941189740338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4641000</v>
      </c>
      <c r="M317" s="45">
        <f t="shared" ca="1" si="171"/>
        <v>4432900</v>
      </c>
      <c r="N317" s="45">
        <f t="shared" ca="1" si="171"/>
        <v>4086820.8899999997</v>
      </c>
      <c r="O317" s="45">
        <f t="shared" ca="1" si="168"/>
        <v>88.059058177116981</v>
      </c>
      <c r="P317" s="45">
        <f t="shared" ca="1" si="169"/>
        <v>92.192941189740338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1041000</v>
      </c>
      <c r="M318" s="38">
        <f t="shared" ca="1" si="172"/>
        <v>832900</v>
      </c>
      <c r="N318" s="38">
        <f t="shared" ca="1" si="172"/>
        <v>524481.56999999995</v>
      </c>
      <c r="O318" s="38">
        <f t="shared" ca="1" si="168"/>
        <v>50.382475504322763</v>
      </c>
      <c r="P318" s="38">
        <f t="shared" ca="1" si="169"/>
        <v>62.970533077200137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5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832900)</f>
        <v>832900</v>
      </c>
      <c r="N320" s="45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524481.57)</f>
        <v>524481.56999999995</v>
      </c>
      <c r="O320" s="45">
        <f t="shared" ca="1" si="168"/>
        <v>50.382475504322763</v>
      </c>
      <c r="P320" s="45">
        <f t="shared" ca="1" si="169"/>
        <v>62.970533077200137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3600000</v>
      </c>
      <c r="M321" s="38">
        <f t="shared" ca="1" si="173"/>
        <v>3600000</v>
      </c>
      <c r="N321" s="38">
        <f t="shared" ca="1" si="173"/>
        <v>3562339.32</v>
      </c>
      <c r="O321" s="38">
        <f t="shared" ca="1" si="168"/>
        <v>98.953869999999995</v>
      </c>
      <c r="P321" s="38">
        <f t="shared" ca="1" si="169"/>
        <v>98.953869999999995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5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3600000)</f>
        <v>3600000</v>
      </c>
      <c r="N323" s="45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3562339.32)</f>
        <v>3562339.32</v>
      </c>
      <c r="O323" s="45">
        <f t="shared" ca="1" si="168"/>
        <v>98.953869999999995</v>
      </c>
      <c r="P323" s="45">
        <f t="shared" ca="1" si="169"/>
        <v>98.953869999999995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3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20.25" customHeight="1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45">
        <f ca="1">J338+J341+J342+J343</f>
        <v>21452</v>
      </c>
      <c r="K327" s="446">
        <f ca="1">IF(I327&gt;0,J327*100/I327,0)</f>
        <v>117.997799779978</v>
      </c>
      <c r="L327" s="447"/>
      <c r="M327" s="447"/>
      <c r="N327" s="447"/>
      <c r="O327" s="447"/>
      <c r="P327" s="447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2297000</v>
      </c>
      <c r="M328" s="155">
        <f t="shared" ca="1" si="174"/>
        <v>1757750</v>
      </c>
      <c r="N328" s="155">
        <f t="shared" ca="1" si="174"/>
        <v>1039721.04999999</v>
      </c>
      <c r="O328" s="155">
        <f t="shared" ref="O328:O336" ca="1" si="175">IF(L328&gt;0,N328*100/L328,0)</f>
        <v>45.264303439268176</v>
      </c>
      <c r="P328" s="155">
        <f t="shared" ref="P328:P336" ca="1" si="176">IF(M328&gt;0,N328*100/M328,0)</f>
        <v>59.150678424121182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2297000</v>
      </c>
      <c r="M330" s="45">
        <f t="shared" ca="1" si="178"/>
        <v>1757750</v>
      </c>
      <c r="N330" s="45">
        <f t="shared" ca="1" si="178"/>
        <v>1039721.04999999</v>
      </c>
      <c r="O330" s="45">
        <f t="shared" ca="1" si="175"/>
        <v>45.264303439268176</v>
      </c>
      <c r="P330" s="45">
        <f t="shared" ca="1" si="176"/>
        <v>59.150678424121182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2297000</v>
      </c>
      <c r="M331" s="38">
        <f t="shared" ca="1" si="179"/>
        <v>1757750</v>
      </c>
      <c r="N331" s="38">
        <f t="shared" ca="1" si="179"/>
        <v>1039721.04999999</v>
      </c>
      <c r="O331" s="38">
        <f t="shared" ca="1" si="175"/>
        <v>45.264303439268176</v>
      </c>
      <c r="P331" s="38">
        <f t="shared" ca="1" si="176"/>
        <v>59.150678424121182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5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1757750)</f>
        <v>1757750</v>
      </c>
      <c r="N333" s="45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1039721.04999999)</f>
        <v>1039721.04999999</v>
      </c>
      <c r="O333" s="45">
        <f t="shared" ca="1" si="175"/>
        <v>45.264303439268176</v>
      </c>
      <c r="P333" s="45">
        <f t="shared" ca="1" si="176"/>
        <v>59.150678424121182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0</v>
      </c>
      <c r="M334" s="38">
        <f t="shared" ca="1" si="180"/>
        <v>0</v>
      </c>
      <c r="N334" s="38">
        <f t="shared" ca="1" si="180"/>
        <v>0</v>
      </c>
      <c r="O334" s="38">
        <f t="shared" ca="1" si="175"/>
        <v>0</v>
      </c>
      <c r="P334" s="38">
        <f t="shared" ca="1" si="176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5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0)</f>
        <v>0</v>
      </c>
      <c r="N336" s="45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0)</f>
        <v>0</v>
      </c>
      <c r="O336" s="45">
        <f t="shared" ca="1" si="175"/>
        <v>0</v>
      </c>
      <c r="P336" s="45">
        <f t="shared" ca="1" si="176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18180)</f>
        <v>18180</v>
      </c>
      <c r="J338" s="270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20084)</f>
        <v>20084</v>
      </c>
      <c r="K338" s="38">
        <f ca="1">IF(I338&gt;0,J338*100/I338,0)</f>
        <v>110.47304730473047</v>
      </c>
      <c r="L338" s="38"/>
      <c r="M338" s="38"/>
      <c r="N338" s="38"/>
      <c r="O338" s="38"/>
      <c r="P338" s="38"/>
    </row>
    <row r="339" spans="1:26" ht="20.25" customHeight="1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270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36)</f>
        <v>36</v>
      </c>
      <c r="K340" s="38">
        <f ca="1">IF(I340&gt;0,J340*100/I340,0)</f>
        <v>65.454545454545453</v>
      </c>
      <c r="L340" s="38"/>
      <c r="M340" s="38"/>
      <c r="N340" s="38"/>
      <c r="O340" s="38"/>
      <c r="P340" s="38"/>
    </row>
    <row r="341" spans="1:26" ht="20.25" customHeight="1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1312)</f>
        <v>1312</v>
      </c>
      <c r="K341" s="38"/>
      <c r="L341" s="38"/>
      <c r="M341" s="38"/>
      <c r="N341" s="38"/>
      <c r="O341" s="38"/>
      <c r="P341" s="38"/>
    </row>
    <row r="342" spans="1:26" ht="20.25" customHeight="1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54)</f>
        <v>54</v>
      </c>
      <c r="K343" s="38"/>
      <c r="L343" s="38"/>
      <c r="M343" s="38"/>
      <c r="N343" s="38"/>
      <c r="O343" s="38"/>
      <c r="P343" s="38"/>
    </row>
    <row r="344" spans="1:26" ht="20.25" customHeight="1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10140670</v>
      </c>
      <c r="M345" s="155">
        <f t="shared" ca="1" si="181"/>
        <v>8470242</v>
      </c>
      <c r="N345" s="155">
        <f t="shared" ca="1" si="181"/>
        <v>6104626.3799999999</v>
      </c>
      <c r="O345" s="155">
        <f t="shared" ref="O345:O353" ca="1" si="182">IF(L345&gt;0,N345*100/L345,0)</f>
        <v>60.199438301414013</v>
      </c>
      <c r="P345" s="155">
        <f t="shared" ref="P345:P353" ca="1" si="183">IF(M345&gt;0,N345*100/M345,0)</f>
        <v>72.071451795592139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10140670</v>
      </c>
      <c r="M347" s="45">
        <f t="shared" ca="1" si="185"/>
        <v>8470242</v>
      </c>
      <c r="N347" s="45">
        <f t="shared" ca="1" si="185"/>
        <v>6104626.3799999999</v>
      </c>
      <c r="O347" s="45">
        <f t="shared" ca="1" si="182"/>
        <v>60.199438301414013</v>
      </c>
      <c r="P347" s="45">
        <f t="shared" ca="1" si="183"/>
        <v>72.071451795592139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8808470</v>
      </c>
      <c r="M348" s="38">
        <f t="shared" ca="1" si="186"/>
        <v>7165432</v>
      </c>
      <c r="N348" s="38">
        <f t="shared" ca="1" si="186"/>
        <v>4799816.38</v>
      </c>
      <c r="O348" s="38">
        <f t="shared" ca="1" si="182"/>
        <v>54.490920443618471</v>
      </c>
      <c r="P348" s="38">
        <f t="shared" ca="1" si="183"/>
        <v>66.985722284434488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5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7165432)</f>
        <v>7165432</v>
      </c>
      <c r="N350" s="45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4799816.38)</f>
        <v>4799816.38</v>
      </c>
      <c r="O350" s="45">
        <f t="shared" ca="1" si="182"/>
        <v>54.490920443618471</v>
      </c>
      <c r="P350" s="45">
        <f t="shared" ca="1" si="183"/>
        <v>66.985722284434488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1332200</v>
      </c>
      <c r="M351" s="38">
        <f t="shared" ca="1" si="187"/>
        <v>1304810</v>
      </c>
      <c r="N351" s="38">
        <f t="shared" ca="1" si="187"/>
        <v>1304810</v>
      </c>
      <c r="O351" s="38">
        <f t="shared" ca="1" si="182"/>
        <v>97.944002402041733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5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1304810)</f>
        <v>1304810</v>
      </c>
      <c r="N353" s="45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1304810)</f>
        <v>1304810</v>
      </c>
      <c r="O353" s="45">
        <f t="shared" ca="1" si="182"/>
        <v>97.944002402041733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7"/>
      <c r="B355" s="458"/>
      <c r="C355" s="459"/>
      <c r="D355" s="460" t="s">
        <v>159</v>
      </c>
      <c r="E355" s="461"/>
      <c r="F355" s="461"/>
      <c r="G355" s="462"/>
      <c r="H355" s="463" t="s">
        <v>35</v>
      </c>
      <c r="I355" s="464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2213)</f>
        <v>2213</v>
      </c>
      <c r="J355" s="465">
        <f ca="1">J362</f>
        <v>726</v>
      </c>
      <c r="K355" s="466">
        <f ca="1">IF(I355&gt;0,J355*100/I355,0)</f>
        <v>32.806145503840938</v>
      </c>
      <c r="L355" s="467"/>
      <c r="M355" s="467"/>
      <c r="N355" s="467"/>
      <c r="O355" s="467"/>
      <c r="P355" s="467"/>
    </row>
    <row r="356" spans="1:26" ht="20.25" customHeight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1516)</f>
        <v>1516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20134)</f>
        <v>20134</v>
      </c>
      <c r="J359" s="270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13012.14)</f>
        <v>13012.14</v>
      </c>
      <c r="K359" s="38">
        <f t="shared" ca="1" si="188"/>
        <v>64.627694447203737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2213)</f>
        <v>2213</v>
      </c>
      <c r="J360" s="270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1150)</f>
        <v>1150</v>
      </c>
      <c r="K360" s="38">
        <f t="shared" ca="1" si="188"/>
        <v>51.965657478535924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9531.31)</f>
        <v>9531.31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2213)</f>
        <v>2213</v>
      </c>
      <c r="J362" s="270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726)</f>
        <v>726</v>
      </c>
      <c r="K362" s="38">
        <f t="shared" ca="1" si="188"/>
        <v>32.806145503840938</v>
      </c>
      <c r="L362" s="163"/>
      <c r="M362" s="163"/>
      <c r="N362" s="163"/>
      <c r="O362" s="163"/>
      <c r="P362" s="163"/>
    </row>
    <row r="363" spans="1:26" ht="20.25" customHeight="1">
      <c r="A363" s="471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5664.11)</f>
        <v>5664.11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20.25" customHeight="1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89">I365+I374</f>
        <v>3984</v>
      </c>
      <c r="J364" s="479">
        <f t="shared" ca="1" si="189"/>
        <v>2470</v>
      </c>
      <c r="K364" s="480">
        <f t="shared" ca="1" si="188"/>
        <v>61.997991967871485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20.25" customHeight="1">
      <c r="A365" s="483"/>
      <c r="B365" s="484"/>
      <c r="C365" s="485"/>
      <c r="D365" s="486" t="s">
        <v>166</v>
      </c>
      <c r="E365" s="487"/>
      <c r="F365" s="487"/>
      <c r="G365" s="488"/>
      <c r="H365" s="489" t="s">
        <v>35</v>
      </c>
      <c r="I365" s="490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996)</f>
        <v>996</v>
      </c>
      <c r="J365" s="491">
        <f ca="1">J372</f>
        <v>492</v>
      </c>
      <c r="K365" s="492">
        <f t="shared" ca="1" si="188"/>
        <v>49.397590361445786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20.25" customHeight="1">
      <c r="A366" s="483"/>
      <c r="B366" s="484"/>
      <c r="C366" s="485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763)</f>
        <v>763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270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6309.17)</f>
        <v>6309.17</v>
      </c>
      <c r="K369" s="38">
        <f t="shared" ca="1" si="190"/>
        <v>70.234554157853722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996)</f>
        <v>996</v>
      </c>
      <c r="J370" s="270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587)</f>
        <v>587</v>
      </c>
      <c r="K370" s="38">
        <f t="shared" ca="1" si="190"/>
        <v>58.935742971887549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4657.14)</f>
        <v>4657.1400000000003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996)</f>
        <v>996</v>
      </c>
      <c r="J372" s="270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492)</f>
        <v>492</v>
      </c>
      <c r="K372" s="38">
        <f t="shared" ca="1" si="190"/>
        <v>49.397590361445786</v>
      </c>
      <c r="L372" s="163"/>
      <c r="M372" s="163"/>
      <c r="N372" s="163"/>
      <c r="O372" s="163"/>
      <c r="P372" s="163"/>
    </row>
    <row r="373" spans="1:26" ht="20.25" customHeight="1">
      <c r="A373" s="471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3846.54)</f>
        <v>3846.54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20.25" customHeight="1">
      <c r="A374" s="483"/>
      <c r="B374" s="484"/>
      <c r="C374" s="485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2988)</f>
        <v>2988</v>
      </c>
      <c r="J374" s="491">
        <f ca="1">J381</f>
        <v>1978</v>
      </c>
      <c r="K374" s="492">
        <f t="shared" ca="1" si="190"/>
        <v>66.198125836680049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20.25" customHeight="1">
      <c r="A375" s="483"/>
      <c r="B375" s="484"/>
      <c r="C375" s="485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753)</f>
        <v>753</v>
      </c>
      <c r="K377" s="498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11151)</f>
        <v>11151</v>
      </c>
      <c r="J378" s="270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6709.77)</f>
        <v>6709.77</v>
      </c>
      <c r="K378" s="498">
        <f t="shared" ca="1" si="191"/>
        <v>60.171912832929785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2988)</f>
        <v>2988</v>
      </c>
      <c r="J379" s="270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2336)</f>
        <v>2336</v>
      </c>
      <c r="K379" s="498">
        <f t="shared" ca="1" si="191"/>
        <v>78.179384203480595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27660.48)</f>
        <v>27660.48</v>
      </c>
      <c r="K380" s="498">
        <f t="shared" si="191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2988)</f>
        <v>2988</v>
      </c>
      <c r="J381" s="270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1978)</f>
        <v>1978</v>
      </c>
      <c r="K381" s="498">
        <f t="shared" ca="1" si="191"/>
        <v>66.198125836680049</v>
      </c>
      <c r="L381" s="163"/>
      <c r="M381" s="163"/>
      <c r="N381" s="163"/>
      <c r="O381" s="163"/>
      <c r="P381" s="163"/>
    </row>
    <row r="382" spans="1:26" ht="20.25" customHeight="1">
      <c r="A382" s="471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24116.45)</f>
        <v>24116.45</v>
      </c>
      <c r="K382" s="498">
        <f t="shared" si="191"/>
        <v>0</v>
      </c>
      <c r="L382" s="163"/>
      <c r="M382" s="163"/>
      <c r="N382" s="163"/>
      <c r="O382" s="163"/>
      <c r="P382" s="163"/>
    </row>
    <row r="383" spans="1:26" ht="20.25" customHeight="1">
      <c r="A383" s="499"/>
      <c r="B383" s="500"/>
      <c r="C383" s="291"/>
      <c r="D383" s="501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332)</f>
        <v>332</v>
      </c>
      <c r="J385" s="505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110)</f>
        <v>110</v>
      </c>
      <c r="K385" s="506">
        <f ca="1">IF(I385&gt;0,J385*100/I385,0)</f>
        <v>33.132530120481931</v>
      </c>
      <c r="L385" s="385"/>
      <c r="M385" s="385"/>
      <c r="N385" s="385"/>
      <c r="O385" s="385"/>
      <c r="P385" s="385"/>
    </row>
    <row r="386" spans="1:26" ht="20.25" customHeight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20.25" customHeight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20.25" customHeight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ca="1" si="192">I400</f>
        <v>0</v>
      </c>
      <c r="J388" s="526">
        <f t="shared" ca="1" si="192"/>
        <v>0</v>
      </c>
      <c r="K388" s="527">
        <f ca="1">IF(I388&gt;0,J388*100/I388,0)</f>
        <v>0</v>
      </c>
      <c r="L388" s="528"/>
      <c r="M388" s="528"/>
      <c r="N388" s="528"/>
      <c r="O388" s="528"/>
      <c r="P388" s="528"/>
    </row>
    <row r="389" spans="1:26" ht="20.25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26000000</v>
      </c>
      <c r="M389" s="155">
        <f t="shared" ca="1" si="193"/>
        <v>26000000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26000000</v>
      </c>
      <c r="M391" s="45">
        <f t="shared" ca="1" si="197"/>
        <v>26000000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5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5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26000000</v>
      </c>
      <c r="M395" s="38">
        <f t="shared" ca="1" si="199"/>
        <v>26000000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5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5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customHeight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3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8">
        <f t="shared" ref="K399:K401" ca="1" si="200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customHeight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3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20.25" customHeight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ca="1" si="201">I412</f>
        <v>15</v>
      </c>
      <c r="J401" s="526">
        <f t="shared" ca="1" si="201"/>
        <v>9</v>
      </c>
      <c r="K401" s="527">
        <f t="shared" ca="1" si="200"/>
        <v>60</v>
      </c>
      <c r="L401" s="528"/>
      <c r="M401" s="528"/>
      <c r="N401" s="528"/>
      <c r="O401" s="528"/>
      <c r="P401" s="528"/>
    </row>
    <row r="402" spans="1:26" ht="20.25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34000000</v>
      </c>
      <c r="M402" s="155">
        <f t="shared" ca="1" si="202"/>
        <v>34000000</v>
      </c>
      <c r="N402" s="155">
        <f t="shared" ca="1" si="202"/>
        <v>16661543</v>
      </c>
      <c r="O402" s="155">
        <f t="shared" ref="O402:O410" ca="1" si="203">IF(L402&gt;0,N402*100/L402,0)</f>
        <v>49.00453823529412</v>
      </c>
      <c r="P402" s="155">
        <f t="shared" ref="P402:P410" ca="1" si="204">IF(M402&gt;0,N402*100/M402,0)</f>
        <v>49.00453823529412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34000000</v>
      </c>
      <c r="M404" s="45">
        <f t="shared" ca="1" si="206"/>
        <v>34000000</v>
      </c>
      <c r="N404" s="45">
        <f t="shared" ca="1" si="206"/>
        <v>16661543</v>
      </c>
      <c r="O404" s="45">
        <f t="shared" ca="1" si="203"/>
        <v>49.00453823529412</v>
      </c>
      <c r="P404" s="45">
        <f t="shared" ca="1" si="204"/>
        <v>49.00453823529412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5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5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34000000</v>
      </c>
      <c r="M408" s="38">
        <f t="shared" ca="1" si="208"/>
        <v>34000000</v>
      </c>
      <c r="N408" s="38">
        <f t="shared" ca="1" si="208"/>
        <v>16661543</v>
      </c>
      <c r="O408" s="38">
        <f t="shared" ca="1" si="203"/>
        <v>49.00453823529412</v>
      </c>
      <c r="P408" s="38">
        <f t="shared" ca="1" si="204"/>
        <v>49.00453823529412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5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5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16661543)</f>
        <v>16661543</v>
      </c>
      <c r="O410" s="45">
        <f t="shared" ca="1" si="203"/>
        <v>49.00453823529412</v>
      </c>
      <c r="P410" s="45">
        <f t="shared" ca="1" si="204"/>
        <v>49.00453823529412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customHeight="1">
      <c r="A411" s="170"/>
      <c r="B411" s="171"/>
      <c r="C411" s="164" t="s">
        <v>16</v>
      </c>
      <c r="D411" s="534" t="s">
        <v>38</v>
      </c>
      <c r="E411" s="535"/>
      <c r="F411" s="535"/>
      <c r="G411" s="536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customHeight="1">
      <c r="A412" s="170"/>
      <c r="B412" s="178"/>
      <c r="C412" s="178"/>
      <c r="D412" s="181" t="s">
        <v>178</v>
      </c>
      <c r="E412" s="178"/>
      <c r="F412" s="178"/>
      <c r="G412" s="179"/>
      <c r="H412" s="537" t="s">
        <v>66</v>
      </c>
      <c r="I412" s="270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15)</f>
        <v>15</v>
      </c>
      <c r="J412" s="183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9)</f>
        <v>9</v>
      </c>
      <c r="K412" s="38">
        <f t="shared" ref="K412:K413" ca="1" si="209">IF(I412&gt;0,J412*100/I412,0)</f>
        <v>60</v>
      </c>
      <c r="L412" s="163"/>
      <c r="M412" s="163"/>
      <c r="N412" s="163"/>
      <c r="O412" s="163"/>
      <c r="P412" s="163"/>
    </row>
    <row r="413" spans="1:26" ht="20.25" customHeigh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795800)</f>
        <v>795800</v>
      </c>
      <c r="J413" s="544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265221)</f>
        <v>265221</v>
      </c>
      <c r="K413" s="545">
        <f t="shared" ca="1" si="209"/>
        <v>33.32759487308369</v>
      </c>
      <c r="L413" s="546"/>
      <c r="M413" s="546"/>
      <c r="N413" s="546"/>
      <c r="O413" s="546"/>
      <c r="P413" s="546"/>
    </row>
    <row r="414" spans="1:26" ht="20.25" customHeight="1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210">L419+L444+L467+L502+L523+L544+L629+L655+L685+L737+L754+L770+L786+L805</f>
        <v>16089310</v>
      </c>
      <c r="M414" s="553">
        <f t="shared" ca="1" si="210"/>
        <v>16083700</v>
      </c>
      <c r="N414" s="553">
        <f t="shared" ca="1" si="210"/>
        <v>7307512.8600000003</v>
      </c>
      <c r="O414" s="553">
        <f ca="1">IF(L414&gt;0,N414*100/L414,0)</f>
        <v>45.418435346201917</v>
      </c>
      <c r="P414" s="553">
        <f ca="1">IF(M414&gt;0,N414*100/M414,0)</f>
        <v>45.434277311812579</v>
      </c>
    </row>
    <row r="415" spans="1:26" ht="20.25" customHeight="1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20.25" customHeight="1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20.25" customHeight="1">
      <c r="A417" s="563">
        <v>1</v>
      </c>
      <c r="B417" s="564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7" ca="1" si="211">I433</f>
        <v>250</v>
      </c>
      <c r="J417" s="569">
        <f t="shared" ca="1" si="211"/>
        <v>250</v>
      </c>
      <c r="K417" s="570">
        <f t="shared" ref="K417:K418" ca="1" si="212">IF(I417&gt;0,J417*100/I417,0)</f>
        <v>100</v>
      </c>
      <c r="L417" s="571"/>
      <c r="M417" s="571"/>
      <c r="N417" s="571"/>
      <c r="O417" s="571"/>
      <c r="P417" s="571"/>
    </row>
    <row r="418" spans="1:26" ht="20.25" customHeight="1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ref="I418:J418" ca="1" si="213">I434</f>
        <v>15</v>
      </c>
      <c r="J418" s="569">
        <f t="shared" ca="1" si="213"/>
        <v>14</v>
      </c>
      <c r="K418" s="570">
        <f t="shared" ca="1" si="212"/>
        <v>93.333333333333329</v>
      </c>
      <c r="L418" s="571"/>
      <c r="M418" s="571"/>
      <c r="N418" s="571"/>
      <c r="O418" s="571"/>
      <c r="P418" s="571"/>
    </row>
    <row r="419" spans="1:26" ht="20.25" customHeight="1">
      <c r="A419" s="147"/>
      <c r="B419" s="148"/>
      <c r="C419" s="148" t="s">
        <v>16</v>
      </c>
      <c r="D419" s="845" t="s">
        <v>17</v>
      </c>
      <c r="E419" s="846"/>
      <c r="F419" s="846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1097120</v>
      </c>
      <c r="M419" s="155">
        <f t="shared" ca="1" si="214"/>
        <v>1091510</v>
      </c>
      <c r="N419" s="155">
        <f t="shared" ca="1" si="214"/>
        <v>804311.77</v>
      </c>
      <c r="O419" s="155">
        <f t="shared" ref="O419:O424" ca="1" si="215">IF(L419&gt;0,N419*100/L419,0)</f>
        <v>73.311193852996936</v>
      </c>
      <c r="P419" s="155">
        <f t="shared" ref="P419:P424" ca="1" si="216">IF(M419&gt;0,N419*100/M419,0)</f>
        <v>73.687989115995279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1097120</v>
      </c>
      <c r="M421" s="45">
        <f t="shared" ca="1" si="218"/>
        <v>1091510</v>
      </c>
      <c r="N421" s="45">
        <f t="shared" ca="1" si="218"/>
        <v>804311.77</v>
      </c>
      <c r="O421" s="45">
        <f t="shared" ca="1" si="215"/>
        <v>73.311193852996936</v>
      </c>
      <c r="P421" s="45">
        <f t="shared" ca="1" si="216"/>
        <v>73.687989115995279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1097120</v>
      </c>
      <c r="M422" s="38">
        <f t="shared" ca="1" si="219"/>
        <v>1091510</v>
      </c>
      <c r="N422" s="38">
        <f t="shared" ca="1" si="219"/>
        <v>804311.77</v>
      </c>
      <c r="O422" s="38">
        <f t="shared" ca="1" si="215"/>
        <v>73.311193852996936</v>
      </c>
      <c r="P422" s="38">
        <f t="shared" ca="1" si="216"/>
        <v>73.687989115995279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1097120)</f>
        <v>1097120</v>
      </c>
      <c r="M424" s="93">
        <f ca="1">IFERROR(__xludf.DUMMYFUNCTION("IMPORTRANGE(""https://docs.google.com/spreadsheets/d/1kC41EOXpGBFOW658Fs3oD8beYlym0-zO54WY-2Qnp9I/edit?usp=share_link"",""กระบี่!M424"")
+IMPORTRANGE(""https://docs.google.com/spreadsheets/d/1FbzMZY_f3MDiEuK7RpCQKrilJ_kpX0Wm7QBZ1L7EjIU/edit?usp=share_link"&amp;""",""ชุมพร!M424"")+IMPORTRANGE(""https://docs.google.com/spreadsheets/d/1v5sN-00LrXuhBxw4dkh2GrG_z4l5oAqOdJRBCsUyMaM/edit?usp=share_link"",""ตรัง!M424"")+IMPORTRANGE(""https://docs.google.com/spreadsheets/d/1T5rRTzFc79aSIvqnzkZNvwPstq829QYz_xALlO1Z0s8/edi"&amp;"t?usp=share_link"",""นครศรีธรรมราช!M424"")+IMPORTRANGE(""https://docs.google.com/spreadsheets/d/1BeghqumK0IvCmRd2QOy6_afsZq7ZtAGrSnVJy2u7WmY/edit?usp=share_link"",""นราธิวาส!M424"")+IMPORTRANGE(""https://docs.google.com/spreadsheets/d/1IwnW3-jjRf74MCLW-6P"&amp;"iFwMUffRQXZwZA7YM609NmRc/edit?usp=share_link"",""ปัตตานี!M424"")+IMPORTRANGE(""https://docs.google.com/spreadsheets/d/1vl4QWbWdFruual5o_wdo6ZSqXZ_it806oja4CctTLKs/edit?usp=share_link"",""พังงา!M424"")+IMPORTRANGE(""https://docs.google.com/spreadsheets/d/1"&amp;"b6QssHQp2FoAPSMKHOy273KNzAomaIKhtdlvuZ_zDNE/edit?usp=share_link"",""พัทลุง!M424"")+IMPORTRANGE(""https://docs.google.com/spreadsheets/d/1o7UZe4_OqlqtLDHrj01Z2YFRSZDf1DMy1n3XViHaxRc/edit?usp=share_link"",""ภูเก็ต!M424"")+IMPORTRANGE(""https://docs.google.c"&amp;"om/spreadsheets/d/1ctPm1vUzcUCPuOj9-eoHUD85PqINFqUB0TjdSWmR5-c/edit?usp=share_link"",""ยะลา!M424"")+IMPORTRANGE(""https://docs.google.com/spreadsheets/d/1YiDIE7Klmt8osgdapRqYWNr7iPGFSsiJqq46S7PYRE0/edit?usp=share_link"",""ระนอง!M424"")+IMPORTRANGE(""https"&amp;"://docs.google.com/spreadsheets/d/16o_4B-V7AWw_6E93bSpXj_XxVv1oVQctk-B6z1dNEWU/edit?usp=share_link"",""สงขลา!M424"")+IMPORTRANGE(""https://docs.google.com/spreadsheets/d/16cywr71Fj4fA5OGRHsZh30ZG2gwJhMAQv69oVBzYHv0/edit?usp=share_link"",""สตูล!M424"")+IMP"&amp;"ORTRANGE(""https://docs.google.com/spreadsheets/d/1vO9Sws6kMtrVtyvrAJptINXjK8TFBoX9xLYOVK_C8bQ/edit?usp=share_link"",""สุราษฎร์ธานี!M424"")"),1091510)</f>
        <v>1091510</v>
      </c>
      <c r="N424" s="45">
        <f ca="1">N425+N426+N427+N428</f>
        <v>804311.77</v>
      </c>
      <c r="O424" s="45">
        <f t="shared" ca="1" si="215"/>
        <v>73.311193852996936</v>
      </c>
      <c r="P424" s="45">
        <f t="shared" ca="1" si="216"/>
        <v>73.687989115995279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73"/>
      <c r="B425" s="574"/>
      <c r="C425" s="575"/>
      <c r="D425" s="575"/>
      <c r="E425" s="575"/>
      <c r="F425" s="576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531875)</f>
        <v>531875</v>
      </c>
      <c r="O425" s="38"/>
      <c r="P425" s="3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20.25" customHeight="1">
      <c r="A426" s="573"/>
      <c r="B426" s="574"/>
      <c r="C426" s="575"/>
      <c r="D426" s="575"/>
      <c r="E426" s="575"/>
      <c r="F426" s="576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8"/>
      <c r="P426" s="3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20.25" customHeight="1">
      <c r="A427" s="573"/>
      <c r="B427" s="574"/>
      <c r="C427" s="575"/>
      <c r="D427" s="575"/>
      <c r="E427" s="575"/>
      <c r="F427" s="576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8"/>
      <c r="P427" s="3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20.25" customHeight="1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272436.77)</f>
        <v>272436.77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5"/>
      <c r="B432" s="416"/>
      <c r="C432" s="148" t="s">
        <v>16</v>
      </c>
      <c r="D432" s="578" t="s">
        <v>38</v>
      </c>
      <c r="E432" s="579"/>
      <c r="F432" s="579"/>
      <c r="G432" s="580"/>
      <c r="H432" s="581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250</v>
      </c>
      <c r="J433" s="194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250)</f>
        <v>250</v>
      </c>
      <c r="K433" s="195">
        <f t="shared" ref="K433:K435" ca="1" si="223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15</v>
      </c>
      <c r="J434" s="194">
        <f t="shared" ca="1" si="224"/>
        <v>14</v>
      </c>
      <c r="K434" s="195">
        <f t="shared" ca="1" si="223"/>
        <v>93.333333333333329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2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83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250)</f>
        <v>250</v>
      </c>
      <c r="K435" s="498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2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83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30)</f>
        <v>30</v>
      </c>
      <c r="K437" s="498">
        <f t="shared" ref="K437:K443" ca="1" si="225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3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1)</f>
        <v>1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2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83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220)</f>
        <v>220</v>
      </c>
      <c r="K439" s="498">
        <f t="shared" ca="1" si="225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3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13)</f>
        <v>13</v>
      </c>
      <c r="K440" s="38">
        <f t="shared" ca="1" si="225"/>
        <v>92.857142857142861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226">I460</f>
        <v>255</v>
      </c>
      <c r="J442" s="589">
        <f t="shared" ca="1" si="226"/>
        <v>255</v>
      </c>
      <c r="K442" s="590">
        <f t="shared" ca="1" si="225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20.25" customHeight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227">I462</f>
        <v>820</v>
      </c>
      <c r="J443" s="569">
        <f t="shared" ca="1" si="227"/>
        <v>770</v>
      </c>
      <c r="K443" s="570">
        <f t="shared" ca="1" si="225"/>
        <v>93.902439024390247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20.25" customHeight="1">
      <c r="A444" s="596"/>
      <c r="B444" s="575"/>
      <c r="C444" s="575" t="s">
        <v>16</v>
      </c>
      <c r="D444" s="847" t="s">
        <v>17</v>
      </c>
      <c r="E444" s="841"/>
      <c r="F444" s="841"/>
      <c r="G444" s="189"/>
      <c r="H444" s="597" t="s">
        <v>12</v>
      </c>
      <c r="I444" s="37"/>
      <c r="J444" s="37"/>
      <c r="K444" s="38"/>
      <c r="L444" s="195">
        <f t="shared" ref="L444:N444" ca="1" si="228">L445+L446</f>
        <v>2091160</v>
      </c>
      <c r="M444" s="195">
        <f t="shared" ca="1" si="228"/>
        <v>2091160</v>
      </c>
      <c r="N444" s="195">
        <f t="shared" ca="1" si="228"/>
        <v>934338.48</v>
      </c>
      <c r="O444" s="195">
        <f t="shared" ref="O444:O449" ca="1" si="229">IF(L444&gt;0,N444*100/L444,0)</f>
        <v>44.680391744295029</v>
      </c>
      <c r="P444" s="195">
        <f t="shared" ref="P444:P449" ca="1" si="230">IF(M444&gt;0,N444*100/M444,0)</f>
        <v>44.680391744295029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20.25" hidden="1" customHeight="1">
      <c r="A445" s="598"/>
      <c r="B445" s="599"/>
      <c r="C445" s="599"/>
      <c r="D445" s="600"/>
      <c r="E445" s="601" t="s">
        <v>185</v>
      </c>
      <c r="F445" s="599"/>
      <c r="G445" s="602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20.25" hidden="1" customHeight="1">
      <c r="A446" s="598"/>
      <c r="B446" s="604"/>
      <c r="C446" s="599"/>
      <c r="D446" s="600"/>
      <c r="E446" s="601" t="s">
        <v>186</v>
      </c>
      <c r="F446" s="599"/>
      <c r="G446" s="602"/>
      <c r="H446" s="165" t="s">
        <v>12</v>
      </c>
      <c r="I446" s="44"/>
      <c r="J446" s="44"/>
      <c r="K446" s="45"/>
      <c r="L446" s="45">
        <f t="shared" ref="L446:N446" ca="1" si="232">L449+L456</f>
        <v>2091160</v>
      </c>
      <c r="M446" s="45">
        <f t="shared" ca="1" si="232"/>
        <v>2091160</v>
      </c>
      <c r="N446" s="45">
        <f t="shared" ca="1" si="232"/>
        <v>934338.48</v>
      </c>
      <c r="O446" s="45">
        <f t="shared" ca="1" si="229"/>
        <v>44.680391744295029</v>
      </c>
      <c r="P446" s="45">
        <f t="shared" ca="1" si="230"/>
        <v>44.680391744295029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20.25" customHeight="1">
      <c r="A447" s="596"/>
      <c r="B447" s="574"/>
      <c r="C447" s="575"/>
      <c r="D447" s="605" t="s">
        <v>20</v>
      </c>
      <c r="E447" s="575"/>
      <c r="F447" s="575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2091160</v>
      </c>
      <c r="M447" s="38">
        <f t="shared" ca="1" si="233"/>
        <v>2091160</v>
      </c>
      <c r="N447" s="38">
        <f t="shared" ca="1" si="233"/>
        <v>934338.48</v>
      </c>
      <c r="O447" s="38">
        <f t="shared" ca="1" si="229"/>
        <v>44.680391744295029</v>
      </c>
      <c r="P447" s="38">
        <f t="shared" ca="1" si="230"/>
        <v>44.680391744295029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20.25" hidden="1" customHeight="1">
      <c r="A448" s="598"/>
      <c r="B448" s="604"/>
      <c r="C448" s="599"/>
      <c r="D448" s="600"/>
      <c r="E448" s="601" t="s">
        <v>185</v>
      </c>
      <c r="F448" s="599"/>
      <c r="G448" s="602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20.25" hidden="1" customHeight="1">
      <c r="A449" s="598"/>
      <c r="B449" s="604"/>
      <c r="C449" s="599"/>
      <c r="D449" s="600"/>
      <c r="E449" s="601" t="s">
        <v>186</v>
      </c>
      <c r="F449" s="599"/>
      <c r="G449" s="602"/>
      <c r="H449" s="165" t="s">
        <v>12</v>
      </c>
      <c r="I449" s="44"/>
      <c r="J449" s="44"/>
      <c r="K449" s="45"/>
      <c r="L449" s="45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93">
        <f ca="1">IFERROR(__xludf.DUMMYFUNCTION("IMPORTRANGE(""https://docs.google.com/spreadsheets/d/1kC41EOXpGBFOW658Fs3oD8beYlym0-zO54WY-2Qnp9I/edit?usp=share_link"",""กระบี่!M449"")
+IMPORTRANGE(""https://docs.google.com/spreadsheets/d/1FbzMZY_f3MDiEuK7RpCQKrilJ_kpX0Wm7QBZ1L7EjIU/edit?usp=share_link"&amp;""",""ชุมพร!M449"")+IMPORTRANGE(""https://docs.google.com/spreadsheets/d/1v5sN-00LrXuhBxw4dkh2GrG_z4l5oAqOdJRBCsUyMaM/edit?usp=share_link"",""ตรัง!M449"")+IMPORTRANGE(""https://docs.google.com/spreadsheets/d/1T5rRTzFc79aSIvqnzkZNvwPstq829QYz_xALlO1Z0s8/edi"&amp;"t?usp=share_link"",""นครศรีธรรมราช!M449"")+IMPORTRANGE(""https://docs.google.com/spreadsheets/d/1BeghqumK0IvCmRd2QOy6_afsZq7ZtAGrSnVJy2u7WmY/edit?usp=share_link"",""นราธิวาส!M449"")+IMPORTRANGE(""https://docs.google.com/spreadsheets/d/1IwnW3-jjRf74MCLW-6P"&amp;"iFwMUffRQXZwZA7YM609NmRc/edit?usp=share_link"",""ปัตตานี!M449"")+IMPORTRANGE(""https://docs.google.com/spreadsheets/d/1vl4QWbWdFruual5o_wdo6ZSqXZ_it806oja4CctTLKs/edit?usp=share_link"",""พังงา!M449"")+IMPORTRANGE(""https://docs.google.com/spreadsheets/d/1"&amp;"b6QssHQp2FoAPSMKHOy273KNzAomaIKhtdlvuZ_zDNE/edit?usp=share_link"",""พัทลุง!M449"")+IMPORTRANGE(""https://docs.google.com/spreadsheets/d/1o7UZe4_OqlqtLDHrj01Z2YFRSZDf1DMy1n3XViHaxRc/edit?usp=share_link"",""ภูเก็ต!M449"")+IMPORTRANGE(""https://docs.google.c"&amp;"om/spreadsheets/d/1ctPm1vUzcUCPuOj9-eoHUD85PqINFqUB0TjdSWmR5-c/edit?usp=share_link"",""ยะลา!M449"")+IMPORTRANGE(""https://docs.google.com/spreadsheets/d/1YiDIE7Klmt8osgdapRqYWNr7iPGFSsiJqq46S7PYRE0/edit?usp=share_link"",""ระนอง!M449"")+IMPORTRANGE(""https"&amp;"://docs.google.com/spreadsheets/d/16o_4B-V7AWw_6E93bSpXj_XxVv1oVQctk-B6z1dNEWU/edit?usp=share_link"",""สงขลา!M449"")+IMPORTRANGE(""https://docs.google.com/spreadsheets/d/16cywr71Fj4fA5OGRHsZh30ZG2gwJhMAQv69oVBzYHv0/edit?usp=share_link"",""สตูล!M449"")+IMP"&amp;"ORTRANGE(""https://docs.google.com/spreadsheets/d/1vO9Sws6kMtrVtyvrAJptINXjK8TFBoX9xLYOVK_C8bQ/edit?usp=share_link"",""สุราษฎร์ธานี!M449"")"),2091160)</f>
        <v>2091160</v>
      </c>
      <c r="N449" s="45">
        <f ca="1">N450+N451+N452+N453</f>
        <v>934338.48</v>
      </c>
      <c r="O449" s="45">
        <f t="shared" ca="1" si="229"/>
        <v>44.680391744295029</v>
      </c>
      <c r="P449" s="45">
        <f t="shared" ca="1" si="230"/>
        <v>44.680391744295029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20.25" customHeight="1">
      <c r="A450" s="573"/>
      <c r="B450" s="574"/>
      <c r="C450" s="575"/>
      <c r="D450" s="575"/>
      <c r="E450" s="575"/>
      <c r="F450" s="576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332433.6)</f>
        <v>332433.59999999998</v>
      </c>
      <c r="O450" s="38"/>
      <c r="P450" s="3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20.25" customHeight="1">
      <c r="A451" s="573"/>
      <c r="B451" s="574"/>
      <c r="C451" s="575"/>
      <c r="D451" s="575"/>
      <c r="E451" s="575"/>
      <c r="F451" s="576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261985)</f>
        <v>261985</v>
      </c>
      <c r="O451" s="38"/>
      <c r="P451" s="3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20.25" customHeight="1">
      <c r="A452" s="573"/>
      <c r="B452" s="574"/>
      <c r="C452" s="574"/>
      <c r="D452" s="574"/>
      <c r="E452" s="574"/>
      <c r="F452" s="576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243114.52)</f>
        <v>243114.52</v>
      </c>
      <c r="O452" s="38"/>
      <c r="P452" s="3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20.25" customHeight="1">
      <c r="A453" s="573"/>
      <c r="B453" s="574"/>
      <c r="C453" s="574"/>
      <c r="D453" s="574"/>
      <c r="E453" s="574"/>
      <c r="F453" s="576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96805.36)</f>
        <v>96805.36</v>
      </c>
      <c r="O453" s="38"/>
      <c r="P453" s="3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20.25" customHeight="1">
      <c r="A454" s="596"/>
      <c r="B454" s="574"/>
      <c r="C454" s="574"/>
      <c r="D454" s="605" t="s">
        <v>21</v>
      </c>
      <c r="E454" s="574"/>
      <c r="F454" s="575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20.25" hidden="1" customHeight="1">
      <c r="A455" s="598"/>
      <c r="B455" s="604"/>
      <c r="C455" s="604"/>
      <c r="D455" s="604"/>
      <c r="E455" s="606" t="s">
        <v>18</v>
      </c>
      <c r="F455" s="599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20.25" hidden="1" customHeight="1">
      <c r="A456" s="598"/>
      <c r="B456" s="604"/>
      <c r="C456" s="604"/>
      <c r="D456" s="604"/>
      <c r="E456" s="606" t="s">
        <v>19</v>
      </c>
      <c r="F456" s="599"/>
      <c r="G456" s="602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20.25" customHeight="1">
      <c r="A457" s="607"/>
      <c r="B457" s="608"/>
      <c r="C457" s="574" t="s">
        <v>16</v>
      </c>
      <c r="D457" s="609" t="s">
        <v>38</v>
      </c>
      <c r="E457" s="610"/>
      <c r="F457" s="611"/>
      <c r="G457" s="612"/>
      <c r="H457" s="175"/>
      <c r="I457" s="37"/>
      <c r="J457" s="37"/>
      <c r="K457" s="38"/>
      <c r="L457" s="38"/>
      <c r="M457" s="38"/>
      <c r="N457" s="38"/>
      <c r="O457" s="38"/>
      <c r="P457" s="3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20.25" hidden="1" customHeight="1">
      <c r="A458" s="613"/>
      <c r="B458" s="614"/>
      <c r="C458" s="614"/>
      <c r="D458" s="615" t="s">
        <v>201</v>
      </c>
      <c r="E458" s="614"/>
      <c r="F458" s="600"/>
      <c r="G458" s="366"/>
      <c r="H458" s="370" t="s">
        <v>35</v>
      </c>
      <c r="I458" s="616">
        <v>0</v>
      </c>
      <c r="J458" s="616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20.25" hidden="1" customHeight="1">
      <c r="A459" s="613"/>
      <c r="B459" s="614"/>
      <c r="C459" s="614"/>
      <c r="D459" s="615" t="s">
        <v>202</v>
      </c>
      <c r="E459" s="614"/>
      <c r="F459" s="600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20.25" customHeight="1">
      <c r="A460" s="607"/>
      <c r="B460" s="608"/>
      <c r="C460" s="608"/>
      <c r="D460" s="617" t="s">
        <v>203</v>
      </c>
      <c r="E460" s="608"/>
      <c r="F460" s="618"/>
      <c r="G460" s="175"/>
      <c r="H460" s="182" t="s">
        <v>35</v>
      </c>
      <c r="I460" s="37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3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255)</f>
        <v>255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20.25" customHeight="1">
      <c r="A461" s="607"/>
      <c r="B461" s="608"/>
      <c r="C461" s="608"/>
      <c r="D461" s="617" t="s">
        <v>204</v>
      </c>
      <c r="E461" s="618"/>
      <c r="F461" s="618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20.25" customHeight="1">
      <c r="A462" s="607"/>
      <c r="B462" s="608"/>
      <c r="C462" s="608"/>
      <c r="D462" s="617" t="s">
        <v>205</v>
      </c>
      <c r="E462" s="618"/>
      <c r="F462" s="618"/>
      <c r="G462" s="175"/>
      <c r="H462" s="182" t="s">
        <v>46</v>
      </c>
      <c r="I462" s="37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3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770)</f>
        <v>770</v>
      </c>
      <c r="K462" s="38">
        <f ca="1">IF(I462&gt;0,J462*100/I462,0)</f>
        <v>93.902439024390247</v>
      </c>
      <c r="L462" s="38"/>
      <c r="M462" s="38"/>
      <c r="N462" s="38"/>
      <c r="O462" s="38"/>
      <c r="P462" s="3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20.25" customHeight="1">
      <c r="A463" s="607"/>
      <c r="B463" s="608"/>
      <c r="C463" s="608"/>
      <c r="D463" s="617" t="s">
        <v>59</v>
      </c>
      <c r="E463" s="618"/>
      <c r="F463" s="575"/>
      <c r="G463" s="189"/>
      <c r="H463" s="182" t="s">
        <v>46</v>
      </c>
      <c r="I463" s="270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3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170)</f>
        <v>170</v>
      </c>
      <c r="K463" s="38"/>
      <c r="L463" s="38"/>
      <c r="M463" s="38"/>
      <c r="N463" s="38"/>
      <c r="O463" s="38"/>
      <c r="P463" s="3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20.25" customHeight="1">
      <c r="A464" s="607"/>
      <c r="B464" s="608"/>
      <c r="C464" s="608"/>
      <c r="D464" s="608"/>
      <c r="E464" s="618"/>
      <c r="F464" s="618"/>
      <c r="G464" s="619"/>
      <c r="H464" s="182" t="s">
        <v>35</v>
      </c>
      <c r="I464" s="270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3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60)</f>
        <v>60</v>
      </c>
      <c r="K464" s="38"/>
      <c r="L464" s="38"/>
      <c r="M464" s="38"/>
      <c r="N464" s="38"/>
      <c r="O464" s="38"/>
      <c r="P464" s="3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20.25" customHeight="1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89">
        <f ca="1">J485+J489+J492</f>
        <v>500</v>
      </c>
      <c r="K465" s="590">
        <f t="shared" ref="K465:K466" ca="1" si="237">IF(I465&gt;0,J465*100/I465,0)</f>
        <v>101.21457489878543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20.25" customHeight="1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69">
        <f ca="1">J495+J498</f>
        <v>1300</v>
      </c>
      <c r="K466" s="570">
        <f t="shared" ca="1" si="237"/>
        <v>27.083333333333332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20.25" customHeight="1">
      <c r="A467" s="596"/>
      <c r="B467" s="575"/>
      <c r="C467" s="575" t="s">
        <v>16</v>
      </c>
      <c r="D467" s="847" t="s">
        <v>17</v>
      </c>
      <c r="E467" s="841"/>
      <c r="F467" s="841"/>
      <c r="G467" s="189"/>
      <c r="H467" s="597" t="s">
        <v>12</v>
      </c>
      <c r="I467" s="37"/>
      <c r="J467" s="37"/>
      <c r="K467" s="38"/>
      <c r="L467" s="195">
        <f t="shared" ref="L467:N467" ca="1" si="238">L468+L469</f>
        <v>4311197</v>
      </c>
      <c r="M467" s="195">
        <f t="shared" ca="1" si="238"/>
        <v>4311197</v>
      </c>
      <c r="N467" s="195">
        <f t="shared" ca="1" si="238"/>
        <v>1738729.99</v>
      </c>
      <c r="O467" s="195">
        <f t="shared" ref="O467:O472" ca="1" si="239">IF(L467&gt;0,N467*100/L467,0)</f>
        <v>40.330562254520032</v>
      </c>
      <c r="P467" s="195">
        <f t="shared" ref="P467:P472" ca="1" si="240">IF(M467&gt;0,N467*100/M467,0)</f>
        <v>40.330562254520032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20.25" hidden="1" customHeight="1">
      <c r="A468" s="598"/>
      <c r="B468" s="599"/>
      <c r="C468" s="599"/>
      <c r="D468" s="600"/>
      <c r="E468" s="601" t="s">
        <v>185</v>
      </c>
      <c r="F468" s="599"/>
      <c r="G468" s="602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20.25" hidden="1" customHeight="1">
      <c r="A469" s="598"/>
      <c r="B469" s="604"/>
      <c r="C469" s="599"/>
      <c r="D469" s="600"/>
      <c r="E469" s="601" t="s">
        <v>186</v>
      </c>
      <c r="F469" s="599"/>
      <c r="G469" s="602"/>
      <c r="H469" s="165" t="s">
        <v>12</v>
      </c>
      <c r="I469" s="44"/>
      <c r="J469" s="44"/>
      <c r="K469" s="45"/>
      <c r="L469" s="45">
        <f t="shared" ref="L469:N469" ca="1" si="242">L472+L479</f>
        <v>4311197</v>
      </c>
      <c r="M469" s="45">
        <f t="shared" ca="1" si="242"/>
        <v>4311197</v>
      </c>
      <c r="N469" s="45">
        <f t="shared" ca="1" si="242"/>
        <v>1738729.99</v>
      </c>
      <c r="O469" s="45">
        <f t="shared" ca="1" si="239"/>
        <v>40.330562254520032</v>
      </c>
      <c r="P469" s="45">
        <f t="shared" ca="1" si="240"/>
        <v>40.330562254520032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20.25" customHeight="1">
      <c r="A470" s="596"/>
      <c r="B470" s="574"/>
      <c r="C470" s="575"/>
      <c r="D470" s="605" t="s">
        <v>20</v>
      </c>
      <c r="E470" s="575"/>
      <c r="F470" s="575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4311197</v>
      </c>
      <c r="M470" s="38">
        <f t="shared" ca="1" si="243"/>
        <v>4311197</v>
      </c>
      <c r="N470" s="38">
        <f t="shared" ca="1" si="243"/>
        <v>1738729.99</v>
      </c>
      <c r="O470" s="38">
        <f t="shared" ca="1" si="239"/>
        <v>40.330562254520032</v>
      </c>
      <c r="P470" s="38">
        <f t="shared" ca="1" si="240"/>
        <v>40.330562254520032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20.25" hidden="1" customHeight="1">
      <c r="A471" s="598"/>
      <c r="B471" s="604"/>
      <c r="C471" s="599"/>
      <c r="D471" s="600"/>
      <c r="E471" s="601" t="s">
        <v>185</v>
      </c>
      <c r="F471" s="599"/>
      <c r="G471" s="602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20.25" hidden="1" customHeight="1">
      <c r="A472" s="598"/>
      <c r="B472" s="604"/>
      <c r="C472" s="599"/>
      <c r="D472" s="600"/>
      <c r="E472" s="601" t="s">
        <v>186</v>
      </c>
      <c r="F472" s="599"/>
      <c r="G472" s="602"/>
      <c r="H472" s="165" t="s">
        <v>12</v>
      </c>
      <c r="I472" s="44"/>
      <c r="J472" s="44"/>
      <c r="K472" s="45"/>
      <c r="L472" s="45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4311197)</f>
        <v>4311197</v>
      </c>
      <c r="M472" s="93">
        <f ca="1">IFERROR(__xludf.DUMMYFUNCTION("IMPORTRANGE(""https://docs.google.com/spreadsheets/d/1kC41EOXpGBFOW658Fs3oD8beYlym0-zO54WY-2Qnp9I/edit?usp=share_link"",""กระบี่!M472"")
+IMPORTRANGE(""https://docs.google.com/spreadsheets/d/1FbzMZY_f3MDiEuK7RpCQKrilJ_kpX0Wm7QBZ1L7EjIU/edit?usp=share_link"&amp;""",""ชุมพร!M472"")+IMPORTRANGE(""https://docs.google.com/spreadsheets/d/1v5sN-00LrXuhBxw4dkh2GrG_z4l5oAqOdJRBCsUyMaM/edit?usp=share_link"",""ตรัง!M472"")+IMPORTRANGE(""https://docs.google.com/spreadsheets/d/1T5rRTzFc79aSIvqnzkZNvwPstq829QYz_xALlO1Z0s8/edi"&amp;"t?usp=share_link"",""นครศรีธรรมราช!M472"")+IMPORTRANGE(""https://docs.google.com/spreadsheets/d/1BeghqumK0IvCmRd2QOy6_afsZq7ZtAGrSnVJy2u7WmY/edit?usp=share_link"",""นราธิวาส!M472"")+IMPORTRANGE(""https://docs.google.com/spreadsheets/d/1IwnW3-jjRf74MCLW-6P"&amp;"iFwMUffRQXZwZA7YM609NmRc/edit?usp=share_link"",""ปัตตานี!M472"")+IMPORTRANGE(""https://docs.google.com/spreadsheets/d/1vl4QWbWdFruual5o_wdo6ZSqXZ_it806oja4CctTLKs/edit?usp=share_link"",""พังงา!M472"")+IMPORTRANGE(""https://docs.google.com/spreadsheets/d/1"&amp;"b6QssHQp2FoAPSMKHOy273KNzAomaIKhtdlvuZ_zDNE/edit?usp=share_link"",""พัทลุง!M472"")+IMPORTRANGE(""https://docs.google.com/spreadsheets/d/1o7UZe4_OqlqtLDHrj01Z2YFRSZDf1DMy1n3XViHaxRc/edit?usp=share_link"",""ภูเก็ต!M472"")+IMPORTRANGE(""https://docs.google.c"&amp;"om/spreadsheets/d/1ctPm1vUzcUCPuOj9-eoHUD85PqINFqUB0TjdSWmR5-c/edit?usp=share_link"",""ยะลา!M472"")+IMPORTRANGE(""https://docs.google.com/spreadsheets/d/1YiDIE7Klmt8osgdapRqYWNr7iPGFSsiJqq46S7PYRE0/edit?usp=share_link"",""ระนอง!M472"")+IMPORTRANGE(""https"&amp;"://docs.google.com/spreadsheets/d/16o_4B-V7AWw_6E93bSpXj_XxVv1oVQctk-B6z1dNEWU/edit?usp=share_link"",""สงขลา!M472"")+IMPORTRANGE(""https://docs.google.com/spreadsheets/d/16cywr71Fj4fA5OGRHsZh30ZG2gwJhMAQv69oVBzYHv0/edit?usp=share_link"",""สตูล!M472"")+IMP"&amp;"ORTRANGE(""https://docs.google.com/spreadsheets/d/1vO9Sws6kMtrVtyvrAJptINXjK8TFBoX9xLYOVK_C8bQ/edit?usp=share_link"",""สุราษฎร์ธานี!M472"")"),4311197)</f>
        <v>4311197</v>
      </c>
      <c r="N472" s="45">
        <f ca="1">N473+N474+N475+N476</f>
        <v>1738729.99</v>
      </c>
      <c r="O472" s="45">
        <f t="shared" ca="1" si="239"/>
        <v>40.330562254520032</v>
      </c>
      <c r="P472" s="45">
        <f t="shared" ca="1" si="240"/>
        <v>40.330562254520032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20.25" customHeight="1">
      <c r="A473" s="573"/>
      <c r="B473" s="574"/>
      <c r="C473" s="575"/>
      <c r="D473" s="575"/>
      <c r="E473" s="575"/>
      <c r="F473" s="576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692484.72)</f>
        <v>692484.72</v>
      </c>
      <c r="O473" s="38"/>
      <c r="P473" s="3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20.25" customHeight="1">
      <c r="A474" s="573"/>
      <c r="B474" s="574"/>
      <c r="C474" s="575"/>
      <c r="D474" s="575"/>
      <c r="E474" s="575"/>
      <c r="F474" s="576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739250)</f>
        <v>739250</v>
      </c>
      <c r="O474" s="38"/>
      <c r="P474" s="3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20.25" customHeight="1">
      <c r="A475" s="573"/>
      <c r="B475" s="574"/>
      <c r="C475" s="574"/>
      <c r="D475" s="574"/>
      <c r="E475" s="574"/>
      <c r="F475" s="576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65500)</f>
        <v>65500</v>
      </c>
      <c r="O475" s="38"/>
      <c r="P475" s="3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20.25" customHeight="1">
      <c r="A476" s="573"/>
      <c r="B476" s="574"/>
      <c r="C476" s="574"/>
      <c r="D476" s="574"/>
      <c r="E476" s="574"/>
      <c r="F476" s="576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241495.27)</f>
        <v>241495.27</v>
      </c>
      <c r="O476" s="38"/>
      <c r="P476" s="3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20.25" customHeight="1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20.25" hidden="1" customHeight="1">
      <c r="A478" s="598"/>
      <c r="B478" s="604"/>
      <c r="C478" s="604"/>
      <c r="D478" s="604"/>
      <c r="E478" s="606" t="s">
        <v>18</v>
      </c>
      <c r="F478" s="604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20.25" hidden="1" customHeight="1">
      <c r="A479" s="598"/>
      <c r="B479" s="604"/>
      <c r="C479" s="604"/>
      <c r="D479" s="604"/>
      <c r="E479" s="606" t="s">
        <v>19</v>
      </c>
      <c r="F479" s="604"/>
      <c r="G479" s="602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20.25" customHeight="1">
      <c r="A480" s="607"/>
      <c r="B480" s="608"/>
      <c r="C480" s="574" t="s">
        <v>16</v>
      </c>
      <c r="D480" s="620" t="s">
        <v>38</v>
      </c>
      <c r="E480" s="610"/>
      <c r="F480" s="611"/>
      <c r="G480" s="612"/>
      <c r="H480" s="175"/>
      <c r="I480" s="37"/>
      <c r="J480" s="37"/>
      <c r="K480" s="38"/>
      <c r="L480" s="38"/>
      <c r="M480" s="38"/>
      <c r="N480" s="38"/>
      <c r="O480" s="38"/>
      <c r="P480" s="3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20.25" customHeight="1">
      <c r="A481" s="607"/>
      <c r="B481" s="608"/>
      <c r="C481" s="608"/>
      <c r="D481" s="621" t="s">
        <v>207</v>
      </c>
      <c r="E481" s="608"/>
      <c r="F481" s="608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20.25" customHeight="1">
      <c r="A482" s="607"/>
      <c r="B482" s="608"/>
      <c r="C482" s="608"/>
      <c r="D482" s="608"/>
      <c r="E482" s="617" t="s">
        <v>208</v>
      </c>
      <c r="F482" s="608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20.25" customHeight="1">
      <c r="A483" s="607"/>
      <c r="B483" s="608"/>
      <c r="C483" s="608"/>
      <c r="D483" s="608"/>
      <c r="E483" s="608"/>
      <c r="F483" s="617" t="s">
        <v>209</v>
      </c>
      <c r="G483" s="175"/>
      <c r="H483" s="36" t="s">
        <v>46</v>
      </c>
      <c r="I483" s="37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3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4066.36)</f>
        <v>4066.36</v>
      </c>
      <c r="K483" s="38">
        <f ca="1">IF(I483&gt;0,J483*100/I483,0)</f>
        <v>94.128703703703707</v>
      </c>
      <c r="L483" s="38"/>
      <c r="M483" s="38"/>
      <c r="N483" s="38"/>
      <c r="O483" s="38"/>
      <c r="P483" s="3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20.25" customHeight="1">
      <c r="A484" s="607"/>
      <c r="B484" s="608"/>
      <c r="C484" s="608"/>
      <c r="D484" s="608"/>
      <c r="E484" s="608"/>
      <c r="F484" s="617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230)</f>
        <v>230</v>
      </c>
      <c r="K484" s="38"/>
      <c r="L484" s="38"/>
      <c r="M484" s="38"/>
      <c r="N484" s="38"/>
      <c r="O484" s="38"/>
      <c r="P484" s="3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20.25" customHeight="1">
      <c r="A485" s="607"/>
      <c r="B485" s="608"/>
      <c r="C485" s="608"/>
      <c r="D485" s="608"/>
      <c r="E485" s="608"/>
      <c r="F485" s="617" t="s">
        <v>211</v>
      </c>
      <c r="G485" s="175"/>
      <c r="H485" s="36" t="s">
        <v>35</v>
      </c>
      <c r="I485" s="37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3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437)</f>
        <v>437</v>
      </c>
      <c r="K485" s="38">
        <f ca="1">IF(I485&gt;0,J485*100/I485,0)</f>
        <v>101.1574074074074</v>
      </c>
      <c r="L485" s="38"/>
      <c r="M485" s="38"/>
      <c r="N485" s="38"/>
      <c r="O485" s="38"/>
      <c r="P485" s="3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20.25" customHeight="1">
      <c r="A486" s="607"/>
      <c r="B486" s="608"/>
      <c r="C486" s="608"/>
      <c r="D486" s="608"/>
      <c r="E486" s="617" t="s">
        <v>62</v>
      </c>
      <c r="F486" s="608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20.25" customHeight="1">
      <c r="A487" s="607"/>
      <c r="B487" s="608"/>
      <c r="C487" s="608"/>
      <c r="D487" s="608"/>
      <c r="E487" s="608"/>
      <c r="F487" s="617" t="s">
        <v>209</v>
      </c>
      <c r="G487" s="175"/>
      <c r="H487" s="36" t="s">
        <v>46</v>
      </c>
      <c r="I487" s="37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3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452)</f>
        <v>452</v>
      </c>
      <c r="K487" s="38">
        <f ca="1">IF(I487&gt;0,J487*100/I487,0)</f>
        <v>94.166666666666671</v>
      </c>
      <c r="L487" s="38"/>
      <c r="M487" s="38"/>
      <c r="N487" s="38"/>
      <c r="O487" s="38"/>
      <c r="P487" s="3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20.25" customHeight="1">
      <c r="A488" s="607"/>
      <c r="B488" s="608"/>
      <c r="C488" s="608"/>
      <c r="D488" s="608"/>
      <c r="E488" s="608"/>
      <c r="F488" s="617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29)</f>
        <v>29</v>
      </c>
      <c r="K488" s="38"/>
      <c r="L488" s="38"/>
      <c r="M488" s="38"/>
      <c r="N488" s="38"/>
      <c r="O488" s="38"/>
      <c r="P488" s="3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20.25" customHeight="1">
      <c r="A489" s="607"/>
      <c r="B489" s="608"/>
      <c r="C489" s="608"/>
      <c r="D489" s="608"/>
      <c r="E489" s="608"/>
      <c r="F489" s="617" t="s">
        <v>213</v>
      </c>
      <c r="G489" s="175"/>
      <c r="H489" s="622" t="s">
        <v>35</v>
      </c>
      <c r="I489" s="37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3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49)</f>
        <v>49</v>
      </c>
      <c r="K489" s="38">
        <f ca="1">IF(I489&gt;0,J489*100/I489,0)</f>
        <v>102.08333333333333</v>
      </c>
      <c r="L489" s="38"/>
      <c r="M489" s="38"/>
      <c r="N489" s="38"/>
      <c r="O489" s="38"/>
      <c r="P489" s="3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20.25" customHeight="1">
      <c r="A490" s="607"/>
      <c r="B490" s="608"/>
      <c r="C490" s="608"/>
      <c r="D490" s="608"/>
      <c r="E490" s="617" t="s">
        <v>63</v>
      </c>
      <c r="F490" s="623"/>
      <c r="G490" s="175"/>
      <c r="H490" s="622"/>
      <c r="I490" s="37"/>
      <c r="J490" s="37"/>
      <c r="K490" s="38"/>
      <c r="L490" s="38"/>
      <c r="M490" s="38"/>
      <c r="N490" s="38"/>
      <c r="O490" s="38"/>
      <c r="P490" s="3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20.25" customHeight="1">
      <c r="A491" s="607"/>
      <c r="B491" s="608"/>
      <c r="C491" s="608"/>
      <c r="D491" s="608"/>
      <c r="E491" s="608"/>
      <c r="F491" s="617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10)</f>
        <v>10</v>
      </c>
      <c r="K491" s="38"/>
      <c r="L491" s="38"/>
      <c r="M491" s="38"/>
      <c r="N491" s="38"/>
      <c r="O491" s="38"/>
      <c r="P491" s="3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20.25" customHeight="1">
      <c r="A492" s="607"/>
      <c r="B492" s="608"/>
      <c r="C492" s="608"/>
      <c r="D492" s="608"/>
      <c r="E492" s="608"/>
      <c r="F492" s="617" t="s">
        <v>215</v>
      </c>
      <c r="G492" s="175"/>
      <c r="H492" s="36" t="s">
        <v>35</v>
      </c>
      <c r="I492" s="37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3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14)</f>
        <v>14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20.25" customHeight="1">
      <c r="A493" s="607"/>
      <c r="B493" s="608"/>
      <c r="C493" s="608"/>
      <c r="D493" s="624" t="s">
        <v>59</v>
      </c>
      <c r="E493" s="608"/>
      <c r="F493" s="618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20.25" customHeight="1">
      <c r="A494" s="607"/>
      <c r="B494" s="608"/>
      <c r="C494" s="608"/>
      <c r="D494" s="608"/>
      <c r="E494" s="617" t="s">
        <v>208</v>
      </c>
      <c r="F494" s="618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20.25" customHeight="1">
      <c r="A495" s="607"/>
      <c r="B495" s="608"/>
      <c r="C495" s="608"/>
      <c r="D495" s="608"/>
      <c r="E495" s="608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3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1170)</f>
        <v>1170</v>
      </c>
      <c r="K495" s="38">
        <f ca="1">IF(I495&gt;0,J495*100/I495,0)</f>
        <v>27.083333333333332</v>
      </c>
      <c r="L495" s="38"/>
      <c r="M495" s="38"/>
      <c r="N495" s="38"/>
      <c r="O495" s="38"/>
      <c r="P495" s="3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20.25" customHeight="1">
      <c r="A496" s="607"/>
      <c r="B496" s="608"/>
      <c r="C496" s="608"/>
      <c r="D496" s="608"/>
      <c r="E496" s="608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450)</f>
        <v>450</v>
      </c>
      <c r="K496" s="38"/>
      <c r="L496" s="38"/>
      <c r="M496" s="38"/>
      <c r="N496" s="38"/>
      <c r="O496" s="38"/>
      <c r="P496" s="3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20.25" customHeight="1">
      <c r="A497" s="607"/>
      <c r="B497" s="608"/>
      <c r="C497" s="608"/>
      <c r="D497" s="608"/>
      <c r="E497" s="617" t="s">
        <v>62</v>
      </c>
      <c r="F497" s="618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20.25" customHeight="1">
      <c r="A498" s="607"/>
      <c r="B498" s="608"/>
      <c r="C498" s="608"/>
      <c r="D498" s="608"/>
      <c r="E498" s="618"/>
      <c r="F498" s="625" t="s">
        <v>218</v>
      </c>
      <c r="G498" s="175"/>
      <c r="H498" s="36" t="s">
        <v>46</v>
      </c>
      <c r="I498" s="37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3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130)</f>
        <v>130</v>
      </c>
      <c r="K498" s="38">
        <f ca="1">IF(I498&gt;0,J498*100/I498,0)</f>
        <v>27.083333333333332</v>
      </c>
      <c r="L498" s="38"/>
      <c r="M498" s="38"/>
      <c r="N498" s="38"/>
      <c r="O498" s="38"/>
      <c r="P498" s="3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20.25" customHeight="1">
      <c r="A499" s="607"/>
      <c r="B499" s="608"/>
      <c r="C499" s="608"/>
      <c r="D499" s="608"/>
      <c r="E499" s="618"/>
      <c r="F499" s="625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50)</f>
        <v>50</v>
      </c>
      <c r="K499" s="38"/>
      <c r="L499" s="38"/>
      <c r="M499" s="38"/>
      <c r="N499" s="38"/>
      <c r="O499" s="38"/>
      <c r="P499" s="3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20.25" hidden="1" customHeight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47">J516</f>
        <v>0</v>
      </c>
      <c r="K500" s="633">
        <f t="shared" ref="K500:K501" si="248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20.25" hidden="1" customHeight="1">
      <c r="A501" s="635"/>
      <c r="B501" s="636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47"/>
        <v>0</v>
      </c>
      <c r="K501" s="642">
        <f t="shared" si="248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20.25" hidden="1" customHeight="1">
      <c r="A502" s="598"/>
      <c r="B502" s="599"/>
      <c r="C502" s="599" t="s">
        <v>16</v>
      </c>
      <c r="D502" s="848" t="s">
        <v>17</v>
      </c>
      <c r="E502" s="841"/>
      <c r="F502" s="841"/>
      <c r="G502" s="602"/>
      <c r="H502" s="644" t="s">
        <v>12</v>
      </c>
      <c r="I502" s="44"/>
      <c r="J502" s="44"/>
      <c r="K502" s="45"/>
      <c r="L502" s="645">
        <f t="shared" ref="L502:N502" si="249">L503+L504</f>
        <v>0</v>
      </c>
      <c r="M502" s="645">
        <f t="shared" si="249"/>
        <v>0</v>
      </c>
      <c r="N502" s="645">
        <f t="shared" si="249"/>
        <v>0</v>
      </c>
      <c r="O502" s="645">
        <f t="shared" ref="O502:O507" si="250">IF(L502&gt;0,N502*100/L502,0)</f>
        <v>0</v>
      </c>
      <c r="P502" s="645">
        <f t="shared" ref="P502:P507" si="251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20.25" hidden="1" customHeight="1">
      <c r="A503" s="598"/>
      <c r="B503" s="599"/>
      <c r="C503" s="599"/>
      <c r="D503" s="600"/>
      <c r="E503" s="601" t="s">
        <v>185</v>
      </c>
      <c r="F503" s="599"/>
      <c r="G503" s="602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20.25" hidden="1" customHeight="1">
      <c r="A504" s="598"/>
      <c r="B504" s="604"/>
      <c r="C504" s="599"/>
      <c r="D504" s="600"/>
      <c r="E504" s="601" t="s">
        <v>186</v>
      </c>
      <c r="F504" s="599"/>
      <c r="G504" s="602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20.25" hidden="1" customHeight="1">
      <c r="A505" s="598"/>
      <c r="B505" s="604"/>
      <c r="C505" s="599"/>
      <c r="D505" s="646" t="s">
        <v>20</v>
      </c>
      <c r="E505" s="599"/>
      <c r="F505" s="599"/>
      <c r="G505" s="602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20.25" hidden="1" customHeight="1">
      <c r="A506" s="598"/>
      <c r="B506" s="604"/>
      <c r="C506" s="599"/>
      <c r="D506" s="600"/>
      <c r="E506" s="601" t="s">
        <v>185</v>
      </c>
      <c r="F506" s="599"/>
      <c r="G506" s="602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20.25" hidden="1" customHeight="1">
      <c r="A507" s="598"/>
      <c r="B507" s="604"/>
      <c r="C507" s="599"/>
      <c r="D507" s="600"/>
      <c r="E507" s="601" t="s">
        <v>186</v>
      </c>
      <c r="F507" s="599"/>
      <c r="G507" s="602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20.25" hidden="1" customHeight="1">
      <c r="A508" s="647"/>
      <c r="B508" s="604"/>
      <c r="C508" s="599"/>
      <c r="D508" s="599"/>
      <c r="E508" s="599"/>
      <c r="F508" s="601" t="s">
        <v>187</v>
      </c>
      <c r="G508" s="602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20.25" hidden="1" customHeight="1">
      <c r="A509" s="647"/>
      <c r="B509" s="604"/>
      <c r="C509" s="599"/>
      <c r="D509" s="599"/>
      <c r="E509" s="599"/>
      <c r="F509" s="601" t="s">
        <v>188</v>
      </c>
      <c r="G509" s="602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20.25" hidden="1" customHeight="1">
      <c r="A510" s="647"/>
      <c r="B510" s="604"/>
      <c r="C510" s="604"/>
      <c r="D510" s="604"/>
      <c r="E510" s="599"/>
      <c r="F510" s="601" t="s">
        <v>189</v>
      </c>
      <c r="G510" s="602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20.25" hidden="1" customHeight="1">
      <c r="A511" s="647"/>
      <c r="B511" s="604"/>
      <c r="C511" s="604"/>
      <c r="D511" s="604"/>
      <c r="E511" s="599"/>
      <c r="F511" s="601" t="s">
        <v>190</v>
      </c>
      <c r="G511" s="602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20.25" hidden="1" customHeight="1">
      <c r="A512" s="598"/>
      <c r="B512" s="604"/>
      <c r="C512" s="604"/>
      <c r="D512" s="646" t="s">
        <v>21</v>
      </c>
      <c r="E512" s="604"/>
      <c r="F512" s="599"/>
      <c r="G512" s="602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20.25" hidden="1" customHeight="1">
      <c r="A513" s="598"/>
      <c r="B513" s="604"/>
      <c r="C513" s="604"/>
      <c r="D513" s="604"/>
      <c r="E513" s="606" t="s">
        <v>18</v>
      </c>
      <c r="F513" s="599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20.25" hidden="1" customHeight="1">
      <c r="A514" s="598"/>
      <c r="B514" s="604"/>
      <c r="C514" s="604"/>
      <c r="D514" s="599"/>
      <c r="E514" s="606" t="s">
        <v>19</v>
      </c>
      <c r="F514" s="599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20.25" hidden="1" customHeight="1">
      <c r="A515" s="613"/>
      <c r="B515" s="614"/>
      <c r="C515" s="604" t="s">
        <v>16</v>
      </c>
      <c r="D515" s="648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20.25" hidden="1" customHeight="1">
      <c r="A516" s="613"/>
      <c r="B516" s="614"/>
      <c r="C516" s="614"/>
      <c r="D516" s="615" t="s">
        <v>222</v>
      </c>
      <c r="E516" s="600"/>
      <c r="F516" s="600"/>
      <c r="G516" s="366"/>
      <c r="H516" s="651" t="s">
        <v>109</v>
      </c>
      <c r="I516" s="44"/>
      <c r="J516" s="616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20.25" hidden="1" customHeight="1">
      <c r="A517" s="613"/>
      <c r="B517" s="614"/>
      <c r="C517" s="614"/>
      <c r="D517" s="615" t="s">
        <v>223</v>
      </c>
      <c r="E517" s="600"/>
      <c r="F517" s="600"/>
      <c r="G517" s="366"/>
      <c r="H517" s="652" t="s">
        <v>35</v>
      </c>
      <c r="I517" s="653"/>
      <c r="J517" s="653">
        <f>J518+J519</f>
        <v>0</v>
      </c>
      <c r="K517" s="654">
        <f t="shared" si="258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20.25" hidden="1" customHeight="1">
      <c r="A518" s="613"/>
      <c r="B518" s="614"/>
      <c r="C518" s="614"/>
      <c r="D518" s="614"/>
      <c r="E518" s="615" t="s">
        <v>224</v>
      </c>
      <c r="F518" s="600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20.25" hidden="1" customHeight="1">
      <c r="A519" s="613"/>
      <c r="B519" s="614"/>
      <c r="C519" s="614"/>
      <c r="D519" s="614"/>
      <c r="E519" s="615" t="s">
        <v>225</v>
      </c>
      <c r="F519" s="600"/>
      <c r="G519" s="366"/>
      <c r="H519" s="651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20.25" customHeight="1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20.25" customHeight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20.25" customHeight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674">
        <f t="shared" ref="I522:J522" ca="1" si="259">I537</f>
        <v>190</v>
      </c>
      <c r="J522" s="674">
        <f t="shared" ca="1" si="259"/>
        <v>190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20.25" customHeight="1">
      <c r="A523" s="596"/>
      <c r="B523" s="575"/>
      <c r="C523" s="575" t="s">
        <v>16</v>
      </c>
      <c r="D523" s="847" t="s">
        <v>17</v>
      </c>
      <c r="E523" s="841"/>
      <c r="F523" s="841"/>
      <c r="G523" s="189"/>
      <c r="H523" s="597" t="s">
        <v>12</v>
      </c>
      <c r="I523" s="37"/>
      <c r="J523" s="37"/>
      <c r="K523" s="38"/>
      <c r="L523" s="195">
        <f t="shared" ref="L523:N523" ca="1" si="260">L524+L525</f>
        <v>1674740</v>
      </c>
      <c r="M523" s="195">
        <f t="shared" ca="1" si="260"/>
        <v>1674740</v>
      </c>
      <c r="N523" s="195">
        <f t="shared" ca="1" si="260"/>
        <v>920740</v>
      </c>
      <c r="O523" s="195">
        <f t="shared" ref="O523:O528" ca="1" si="261">IF(L523&gt;0,N523*100/L523,0)</f>
        <v>54.978086150686075</v>
      </c>
      <c r="P523" s="195">
        <f t="shared" ref="P523:P528" ca="1" si="262">IF(M523&gt;0,N523*100/M523,0)</f>
        <v>54.978086150686075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20.25" hidden="1" customHeight="1">
      <c r="A524" s="598"/>
      <c r="B524" s="599"/>
      <c r="C524" s="599"/>
      <c r="D524" s="600"/>
      <c r="E524" s="601" t="s">
        <v>185</v>
      </c>
      <c r="F524" s="599"/>
      <c r="G524" s="602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20.25" hidden="1" customHeight="1">
      <c r="A525" s="598"/>
      <c r="B525" s="604"/>
      <c r="C525" s="599"/>
      <c r="D525" s="600"/>
      <c r="E525" s="601" t="s">
        <v>186</v>
      </c>
      <c r="F525" s="599"/>
      <c r="G525" s="602"/>
      <c r="H525" s="165" t="s">
        <v>12</v>
      </c>
      <c r="I525" s="44"/>
      <c r="J525" s="44"/>
      <c r="K525" s="45"/>
      <c r="L525" s="45">
        <f t="shared" ref="L525:N525" ca="1" si="264">L528+L535</f>
        <v>1674740</v>
      </c>
      <c r="M525" s="45">
        <f t="shared" ca="1" si="264"/>
        <v>1674740</v>
      </c>
      <c r="N525" s="45">
        <f t="shared" ca="1" si="264"/>
        <v>920740</v>
      </c>
      <c r="O525" s="45">
        <f t="shared" ca="1" si="261"/>
        <v>54.978086150686075</v>
      </c>
      <c r="P525" s="45">
        <f t="shared" ca="1" si="262"/>
        <v>54.978086150686075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20.25" customHeight="1">
      <c r="A526" s="596"/>
      <c r="B526" s="574"/>
      <c r="C526" s="575"/>
      <c r="D526" s="605" t="s">
        <v>20</v>
      </c>
      <c r="E526" s="575"/>
      <c r="F526" s="575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1674740</v>
      </c>
      <c r="M526" s="38">
        <f t="shared" ca="1" si="265"/>
        <v>1674740</v>
      </c>
      <c r="N526" s="38">
        <f t="shared" ca="1" si="265"/>
        <v>920740</v>
      </c>
      <c r="O526" s="38">
        <f t="shared" ca="1" si="261"/>
        <v>54.978086150686075</v>
      </c>
      <c r="P526" s="38">
        <f t="shared" ca="1" si="262"/>
        <v>54.978086150686075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20.25" hidden="1" customHeight="1">
      <c r="A527" s="598"/>
      <c r="B527" s="604"/>
      <c r="C527" s="599"/>
      <c r="D527" s="600"/>
      <c r="E527" s="601" t="s">
        <v>185</v>
      </c>
      <c r="F527" s="599"/>
      <c r="G527" s="602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20.25" hidden="1" customHeight="1">
      <c r="A528" s="598"/>
      <c r="B528" s="604"/>
      <c r="C528" s="599"/>
      <c r="D528" s="600"/>
      <c r="E528" s="601" t="s">
        <v>186</v>
      </c>
      <c r="F528" s="599"/>
      <c r="G528" s="602"/>
      <c r="H528" s="165" t="s">
        <v>12</v>
      </c>
      <c r="I528" s="44"/>
      <c r="J528" s="44"/>
      <c r="K528" s="45"/>
      <c r="L528" s="45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93">
        <f ca="1">IFERROR(__xludf.DUMMYFUNCTION("IMPORTRANGE(""https://docs.google.com/spreadsheets/d/1kC41EOXpGBFOW658Fs3oD8beYlym0-zO54WY-2Qnp9I/edit?usp=share_link"",""กระบี่!M528"")
+IMPORTRANGE(""https://docs.google.com/spreadsheets/d/1FbzMZY_f3MDiEuK7RpCQKrilJ_kpX0Wm7QBZ1L7EjIU/edit?usp=share_link"&amp;""",""ชุมพร!M528"")+IMPORTRANGE(""https://docs.google.com/spreadsheets/d/1v5sN-00LrXuhBxw4dkh2GrG_z4l5oAqOdJRBCsUyMaM/edit?usp=share_link"",""ตรัง!M528"")+IMPORTRANGE(""https://docs.google.com/spreadsheets/d/1T5rRTzFc79aSIvqnzkZNvwPstq829QYz_xALlO1Z0s8/edi"&amp;"t?usp=share_link"",""นครศรีธรรมราช!M528"")+IMPORTRANGE(""https://docs.google.com/spreadsheets/d/1BeghqumK0IvCmRd2QOy6_afsZq7ZtAGrSnVJy2u7WmY/edit?usp=share_link"",""นราธิวาส!M528"")+IMPORTRANGE(""https://docs.google.com/spreadsheets/d/1IwnW3-jjRf74MCLW-6P"&amp;"iFwMUffRQXZwZA7YM609NmRc/edit?usp=share_link"",""ปัตตานี!M528"")+IMPORTRANGE(""https://docs.google.com/spreadsheets/d/1vl4QWbWdFruual5o_wdo6ZSqXZ_it806oja4CctTLKs/edit?usp=share_link"",""พังงา!M528"")+IMPORTRANGE(""https://docs.google.com/spreadsheets/d/1"&amp;"b6QssHQp2FoAPSMKHOy273KNzAomaIKhtdlvuZ_zDNE/edit?usp=share_link"",""พัทลุง!M528"")+IMPORTRANGE(""https://docs.google.com/spreadsheets/d/1o7UZe4_OqlqtLDHrj01Z2YFRSZDf1DMy1n3XViHaxRc/edit?usp=share_link"",""ภูเก็ต!M528"")+IMPORTRANGE(""https://docs.google.c"&amp;"om/spreadsheets/d/1ctPm1vUzcUCPuOj9-eoHUD85PqINFqUB0TjdSWmR5-c/edit?usp=share_link"",""ยะลา!M528"")+IMPORTRANGE(""https://docs.google.com/spreadsheets/d/1YiDIE7Klmt8osgdapRqYWNr7iPGFSsiJqq46S7PYRE0/edit?usp=share_link"",""ระนอง!M528"")+IMPORTRANGE(""https"&amp;"://docs.google.com/spreadsheets/d/16o_4B-V7AWw_6E93bSpXj_XxVv1oVQctk-B6z1dNEWU/edit?usp=share_link"",""สงขลา!M528"")+IMPORTRANGE(""https://docs.google.com/spreadsheets/d/16cywr71Fj4fA5OGRHsZh30ZG2gwJhMAQv69oVBzYHv0/edit?usp=share_link"",""สตูล!M528"")+IMP"&amp;"ORTRANGE(""https://docs.google.com/spreadsheets/d/1vO9Sws6kMtrVtyvrAJptINXjK8TFBoX9xLYOVK_C8bQ/edit?usp=share_link"",""สุราษฎร์ธานี!M528"")"),1674740)</f>
        <v>1674740</v>
      </c>
      <c r="N528" s="45">
        <f ca="1">N529+N530+N531+N532</f>
        <v>920740</v>
      </c>
      <c r="O528" s="45">
        <f t="shared" ca="1" si="261"/>
        <v>54.978086150686075</v>
      </c>
      <c r="P528" s="45">
        <f t="shared" ca="1" si="262"/>
        <v>54.978086150686075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20.25" customHeight="1">
      <c r="A529" s="573"/>
      <c r="B529" s="574"/>
      <c r="C529" s="575"/>
      <c r="D529" s="575"/>
      <c r="E529" s="575"/>
      <c r="F529" s="576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428180)</f>
        <v>428180</v>
      </c>
      <c r="O529" s="38"/>
      <c r="P529" s="3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20.25" customHeight="1">
      <c r="A530" s="573"/>
      <c r="B530" s="574"/>
      <c r="C530" s="575"/>
      <c r="D530" s="575"/>
      <c r="E530" s="575"/>
      <c r="F530" s="576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400000)</f>
        <v>400000</v>
      </c>
      <c r="O530" s="38"/>
      <c r="P530" s="3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20.25" customHeight="1">
      <c r="A531" s="573"/>
      <c r="B531" s="574"/>
      <c r="C531" s="575"/>
      <c r="D531" s="575"/>
      <c r="E531" s="575"/>
      <c r="F531" s="576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8"/>
      <c r="P531" s="3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20.25" customHeight="1">
      <c r="A532" s="573"/>
      <c r="B532" s="574"/>
      <c r="C532" s="575"/>
      <c r="D532" s="575"/>
      <c r="E532" s="575"/>
      <c r="F532" s="576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92560)</f>
        <v>92560</v>
      </c>
      <c r="O532" s="38"/>
      <c r="P532" s="3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20.25" customHeight="1">
      <c r="A533" s="596"/>
      <c r="B533" s="574"/>
      <c r="C533" s="575"/>
      <c r="D533" s="605" t="s">
        <v>21</v>
      </c>
      <c r="E533" s="575"/>
      <c r="F533" s="575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20.25" hidden="1" customHeight="1">
      <c r="A534" s="598"/>
      <c r="B534" s="604"/>
      <c r="C534" s="599"/>
      <c r="D534" s="599"/>
      <c r="E534" s="601" t="s">
        <v>18</v>
      </c>
      <c r="F534" s="599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20.25" hidden="1" customHeight="1">
      <c r="A535" s="598"/>
      <c r="B535" s="604"/>
      <c r="C535" s="599"/>
      <c r="D535" s="599"/>
      <c r="E535" s="601" t="s">
        <v>19</v>
      </c>
      <c r="F535" s="599"/>
      <c r="G535" s="602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20.25" customHeight="1">
      <c r="A536" s="607"/>
      <c r="B536" s="608"/>
      <c r="C536" s="575" t="s">
        <v>16</v>
      </c>
      <c r="D536" s="677" t="s">
        <v>38</v>
      </c>
      <c r="E536" s="611"/>
      <c r="F536" s="611"/>
      <c r="G536" s="612"/>
      <c r="H536" s="175"/>
      <c r="I536" s="162"/>
      <c r="J536" s="162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20.25" customHeight="1">
      <c r="A537" s="573"/>
      <c r="B537" s="574"/>
      <c r="C537" s="575"/>
      <c r="D537" s="678" t="s">
        <v>228</v>
      </c>
      <c r="E537" s="575"/>
      <c r="F537" s="575"/>
      <c r="G537" s="189"/>
      <c r="H537" s="36" t="s">
        <v>35</v>
      </c>
      <c r="I537" s="679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4">
        <f ca="1">IFERROR(__xludf.DUMMYFUNCTION("IMPORTRANGE(""https://docs.google.com/spreadsheets/d/1kC41EOXpGBFOW658Fs3oD8beYlym0-zO54WY-2Qnp9I/edit?usp=share_link"",""กระบี่!J537"")
+IMPORTRANGE(""https://docs.google.com/spreadsheets/d/1FbzMZY_f3MDiEuK7RpCQKrilJ_kpX0Wm7QBZ1L7EjIU/edit?usp=share_link"&amp;""",""ชุมพร!J537"")+IMPORTRANGE(""https://docs.google.com/spreadsheets/d/1v5sN-00LrXuhBxw4dkh2GrG_z4l5oAqOdJRBCsUyMaM/edit?usp=share_link"",""ตรัง!J537"")+IMPORTRANGE(""https://docs.google.com/spreadsheets/d/1T5rRTzFc79aSIvqnzkZNvwPstq829QYz_xALlO1Z0s8/edi"&amp;"t?usp=share_link"",""นครศรีธรรมราช!J537"")+IMPORTRANGE(""https://docs.google.com/spreadsheets/d/1BeghqumK0IvCmRd2QOy6_afsZq7ZtAGrSnVJy2u7WmY/edit?usp=share_link"",""นราธิวาส!J537"")+IMPORTRANGE(""https://docs.google.com/spreadsheets/d/1IwnW3-jjRf74MCLW-6P"&amp;"iFwMUffRQXZwZA7YM609NmRc/edit?usp=share_link"",""ปัตตานี!J537"")+IMPORTRANGE(""https://docs.google.com/spreadsheets/d/1vl4QWbWdFruual5o_wdo6ZSqXZ_it806oja4CctTLKs/edit?usp=share_link"",""พังงา!J537"")+IMPORTRANGE(""https://docs.google.com/spreadsheets/d/1"&amp;"b6QssHQp2FoAPSMKHOy273KNzAomaIKhtdlvuZ_zDNE/edit?usp=share_link"",""พัทลุง!J537"")+IMPORTRANGE(""https://docs.google.com/spreadsheets/d/1o7UZe4_OqlqtLDHrj01Z2YFRSZDf1DMy1n3XViHaxRc/edit?usp=share_link"",""ภูเก็ต!J537"")+IMPORTRANGE(""https://docs.google.c"&amp;"om/spreadsheets/d/1ctPm1vUzcUCPuOj9-eoHUD85PqINFqUB0TjdSWmR5-c/edit?usp=share_link"",""ยะลา!J537"")+IMPORTRANGE(""https://docs.google.com/spreadsheets/d/1YiDIE7Klmt8osgdapRqYWNr7iPGFSsiJqq46S7PYRE0/edit?usp=share_link"",""ระนอง!J537"")+IMPORTRANGE(""https"&amp;"://docs.google.com/spreadsheets/d/16o_4B-V7AWw_6E93bSpXj_XxVv1oVQctk-B6z1dNEWU/edit?usp=share_link"",""สงขลา!J537"")+IMPORTRANGE(""https://docs.google.com/spreadsheets/d/16cywr71Fj4fA5OGRHsZh30ZG2gwJhMAQv69oVBzYHv0/edit?usp=share_link"",""สตูล!J537"")+IMP"&amp;"ORTRANGE(""https://docs.google.com/spreadsheets/d/1vO9Sws6kMtrVtyvrAJptINXjK8TFBoX9xLYOVK_C8bQ/edit?usp=share_link"",""สุราษฎร์ธานี!J537"")"),190)</f>
        <v>190</v>
      </c>
      <c r="K537" s="38">
        <f t="shared" ref="K537:K543" ca="1" si="269">IF(I537&gt;0,J537*100/I537,0)</f>
        <v>100</v>
      </c>
      <c r="L537" s="38"/>
      <c r="M537" s="38"/>
      <c r="N537" s="38"/>
      <c r="O537" s="38"/>
      <c r="P537" s="3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20.25" customHeight="1">
      <c r="A538" s="573"/>
      <c r="B538" s="574"/>
      <c r="C538" s="575"/>
      <c r="D538" s="576"/>
      <c r="E538" s="681" t="s">
        <v>229</v>
      </c>
      <c r="F538" s="575"/>
      <c r="G538" s="189"/>
      <c r="H538" s="36" t="s">
        <v>35</v>
      </c>
      <c r="I538" s="270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3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190)</f>
        <v>190</v>
      </c>
      <c r="K538" s="38">
        <f t="shared" ca="1" si="269"/>
        <v>100</v>
      </c>
      <c r="L538" s="38"/>
      <c r="M538" s="38"/>
      <c r="N538" s="38"/>
      <c r="O538" s="38"/>
      <c r="P538" s="3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20.25" customHeight="1">
      <c r="A539" s="573"/>
      <c r="B539" s="574"/>
      <c r="C539" s="575"/>
      <c r="D539" s="576"/>
      <c r="E539" s="681" t="s">
        <v>230</v>
      </c>
      <c r="F539" s="575"/>
      <c r="G539" s="189"/>
      <c r="H539" s="36" t="s">
        <v>35</v>
      </c>
      <c r="I539" s="270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3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160)</f>
        <v>160</v>
      </c>
      <c r="K539" s="38">
        <f t="shared" ca="1" si="269"/>
        <v>100</v>
      </c>
      <c r="L539" s="38"/>
      <c r="M539" s="38"/>
      <c r="N539" s="38"/>
      <c r="O539" s="38"/>
      <c r="P539" s="3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20.25" customHeight="1">
      <c r="A540" s="573"/>
      <c r="B540" s="574"/>
      <c r="C540" s="575"/>
      <c r="D540" s="576"/>
      <c r="E540" s="681" t="s">
        <v>231</v>
      </c>
      <c r="F540" s="575"/>
      <c r="G540" s="189"/>
      <c r="H540" s="36" t="s">
        <v>35</v>
      </c>
      <c r="I540" s="270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3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160)</f>
        <v>160</v>
      </c>
      <c r="K540" s="38">
        <f t="shared" ca="1" si="269"/>
        <v>100</v>
      </c>
      <c r="L540" s="38"/>
      <c r="M540" s="38"/>
      <c r="N540" s="38"/>
      <c r="O540" s="38"/>
      <c r="P540" s="3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20.25" customHeight="1">
      <c r="A541" s="573"/>
      <c r="B541" s="574"/>
      <c r="C541" s="575"/>
      <c r="D541" s="576"/>
      <c r="E541" s="682" t="s">
        <v>232</v>
      </c>
      <c r="F541" s="575"/>
      <c r="G541" s="189"/>
      <c r="H541" s="36" t="s">
        <v>35</v>
      </c>
      <c r="I541" s="270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3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30)</f>
        <v>30</v>
      </c>
      <c r="K541" s="38">
        <f t="shared" ca="1" si="269"/>
        <v>100</v>
      </c>
      <c r="L541" s="38"/>
      <c r="M541" s="38"/>
      <c r="N541" s="38"/>
      <c r="O541" s="38"/>
      <c r="P541" s="3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20.25" customHeight="1">
      <c r="A542" s="573"/>
      <c r="B542" s="574"/>
      <c r="C542" s="575"/>
      <c r="D542" s="576" t="s">
        <v>59</v>
      </c>
      <c r="E542" s="575"/>
      <c r="F542" s="575"/>
      <c r="G542" s="189"/>
      <c r="H542" s="36" t="s">
        <v>35</v>
      </c>
      <c r="I542" s="37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3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80)</f>
        <v>80</v>
      </c>
      <c r="K542" s="38">
        <f t="shared" ca="1" si="269"/>
        <v>42.10526315789474</v>
      </c>
      <c r="L542" s="38"/>
      <c r="M542" s="38"/>
      <c r="N542" s="38"/>
      <c r="O542" s="38"/>
      <c r="P542" s="3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20.25" customHeight="1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70">I559</f>
        <v>380540</v>
      </c>
      <c r="J543" s="685">
        <f t="shared" ca="1" si="270"/>
        <v>250075.71500000003</v>
      </c>
      <c r="K543" s="686">
        <f t="shared" ca="1" si="269"/>
        <v>65.716012771324969</v>
      </c>
      <c r="L543" s="668"/>
      <c r="M543" s="668"/>
      <c r="N543" s="668"/>
      <c r="O543" s="668"/>
      <c r="P543" s="668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20.25" customHeight="1">
      <c r="A544" s="687"/>
      <c r="B544" s="688"/>
      <c r="C544" s="688" t="s">
        <v>16</v>
      </c>
      <c r="D544" s="849" t="s">
        <v>17</v>
      </c>
      <c r="E544" s="846"/>
      <c r="F544" s="846"/>
      <c r="G544" s="689"/>
      <c r="H544" s="275" t="s">
        <v>12</v>
      </c>
      <c r="I544" s="153"/>
      <c r="J544" s="153"/>
      <c r="K544" s="154"/>
      <c r="L544" s="155">
        <f t="shared" ref="L544:N544" ca="1" si="271">L545+L546</f>
        <v>5238283</v>
      </c>
      <c r="M544" s="155">
        <f t="shared" ca="1" si="271"/>
        <v>5238283</v>
      </c>
      <c r="N544" s="155">
        <f t="shared" ca="1" si="271"/>
        <v>2502051.2199999997</v>
      </c>
      <c r="O544" s="155">
        <f t="shared" ref="O544:O549" ca="1" si="272">IF(L544&gt;0,N544*100/L544,0)</f>
        <v>47.764720233710165</v>
      </c>
      <c r="P544" s="155">
        <f t="shared" ref="P544:P549" ca="1" si="273">IF(M544&gt;0,N544*100/M544,0)</f>
        <v>47.764720233710165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20.25" hidden="1" customHeight="1">
      <c r="A545" s="598"/>
      <c r="B545" s="599"/>
      <c r="C545" s="599"/>
      <c r="D545" s="599"/>
      <c r="E545" s="601" t="s">
        <v>185</v>
      </c>
      <c r="F545" s="599"/>
      <c r="G545" s="602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20.25" hidden="1" customHeight="1">
      <c r="A546" s="598"/>
      <c r="B546" s="604"/>
      <c r="C546" s="599"/>
      <c r="D546" s="599"/>
      <c r="E546" s="601" t="s">
        <v>186</v>
      </c>
      <c r="F546" s="599"/>
      <c r="G546" s="602"/>
      <c r="H546" s="165" t="s">
        <v>12</v>
      </c>
      <c r="I546" s="44"/>
      <c r="J546" s="44"/>
      <c r="K546" s="45"/>
      <c r="L546" s="45">
        <f t="shared" ca="1" si="274"/>
        <v>5238283</v>
      </c>
      <c r="M546" s="45">
        <f t="shared" ref="M546:N546" ca="1" si="276">M549+M556</f>
        <v>5238283</v>
      </c>
      <c r="N546" s="45">
        <f t="shared" ca="1" si="276"/>
        <v>2502051.2199999997</v>
      </c>
      <c r="O546" s="45">
        <f t="shared" ca="1" si="272"/>
        <v>47.764720233710165</v>
      </c>
      <c r="P546" s="45">
        <f t="shared" ca="1" si="273"/>
        <v>47.764720233710165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20.25" customHeight="1">
      <c r="A547" s="596"/>
      <c r="B547" s="574"/>
      <c r="C547" s="575"/>
      <c r="D547" s="605" t="s">
        <v>20</v>
      </c>
      <c r="E547" s="575"/>
      <c r="F547" s="575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5238283</v>
      </c>
      <c r="M547" s="38">
        <f t="shared" ca="1" si="277"/>
        <v>5238283</v>
      </c>
      <c r="N547" s="38">
        <f t="shared" ca="1" si="277"/>
        <v>2502051.2199999997</v>
      </c>
      <c r="O547" s="38">
        <f t="shared" ca="1" si="272"/>
        <v>47.764720233710165</v>
      </c>
      <c r="P547" s="38">
        <f t="shared" ca="1" si="273"/>
        <v>47.764720233710165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20.25" hidden="1" customHeight="1">
      <c r="A548" s="598"/>
      <c r="B548" s="604"/>
      <c r="C548" s="599"/>
      <c r="D548" s="600"/>
      <c r="E548" s="601" t="s">
        <v>185</v>
      </c>
      <c r="F548" s="599"/>
      <c r="G548" s="602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20.25" hidden="1" customHeight="1">
      <c r="A549" s="598"/>
      <c r="B549" s="604"/>
      <c r="C549" s="599"/>
      <c r="D549" s="600"/>
      <c r="E549" s="601" t="s">
        <v>186</v>
      </c>
      <c r="F549" s="599"/>
      <c r="G549" s="602"/>
      <c r="H549" s="165" t="s">
        <v>12</v>
      </c>
      <c r="I549" s="44"/>
      <c r="J549" s="44"/>
      <c r="K549" s="45"/>
      <c r="L549" s="45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5238283)</f>
        <v>5238283</v>
      </c>
      <c r="M549" s="93">
        <f ca="1">IFERROR(__xludf.DUMMYFUNCTION("IMPORTRANGE(""https://docs.google.com/spreadsheets/d/1kC41EOXpGBFOW658Fs3oD8beYlym0-zO54WY-2Qnp9I/edit?usp=share_link"",""กระบี่!M549"")
+IMPORTRANGE(""https://docs.google.com/spreadsheets/d/1FbzMZY_f3MDiEuK7RpCQKrilJ_kpX0Wm7QBZ1L7EjIU/edit?usp=share_link"&amp;""",""ชุมพร!M549"")+IMPORTRANGE(""https://docs.google.com/spreadsheets/d/1v5sN-00LrXuhBxw4dkh2GrG_z4l5oAqOdJRBCsUyMaM/edit?usp=share_link"",""ตรัง!M549"")+IMPORTRANGE(""https://docs.google.com/spreadsheets/d/1T5rRTzFc79aSIvqnzkZNvwPstq829QYz_xALlO1Z0s8/edi"&amp;"t?usp=share_link"",""นครศรีธรรมราช!M549"")+IMPORTRANGE(""https://docs.google.com/spreadsheets/d/1BeghqumK0IvCmRd2QOy6_afsZq7ZtAGrSnVJy2u7WmY/edit?usp=share_link"",""นราธิวาส!M549"")+IMPORTRANGE(""https://docs.google.com/spreadsheets/d/1IwnW3-jjRf74MCLW-6P"&amp;"iFwMUffRQXZwZA7YM609NmRc/edit?usp=share_link"",""ปัตตานี!M549"")+IMPORTRANGE(""https://docs.google.com/spreadsheets/d/1vl4QWbWdFruual5o_wdo6ZSqXZ_it806oja4CctTLKs/edit?usp=share_link"",""พังงา!M549"")+IMPORTRANGE(""https://docs.google.com/spreadsheets/d/1"&amp;"b6QssHQp2FoAPSMKHOy273KNzAomaIKhtdlvuZ_zDNE/edit?usp=share_link"",""พัทลุง!M549"")+IMPORTRANGE(""https://docs.google.com/spreadsheets/d/1o7UZe4_OqlqtLDHrj01Z2YFRSZDf1DMy1n3XViHaxRc/edit?usp=share_link"",""ภูเก็ต!M549"")+IMPORTRANGE(""https://docs.google.c"&amp;"om/spreadsheets/d/1ctPm1vUzcUCPuOj9-eoHUD85PqINFqUB0TjdSWmR5-c/edit?usp=share_link"",""ยะลา!M549"")+IMPORTRANGE(""https://docs.google.com/spreadsheets/d/1YiDIE7Klmt8osgdapRqYWNr7iPGFSsiJqq46S7PYRE0/edit?usp=share_link"",""ระนอง!M549"")+IMPORTRANGE(""https"&amp;"://docs.google.com/spreadsheets/d/16o_4B-V7AWw_6E93bSpXj_XxVv1oVQctk-B6z1dNEWU/edit?usp=share_link"",""สงขลา!M549"")+IMPORTRANGE(""https://docs.google.com/spreadsheets/d/16cywr71Fj4fA5OGRHsZh30ZG2gwJhMAQv69oVBzYHv0/edit?usp=share_link"",""สตูล!M549"")+IMP"&amp;"ORTRANGE(""https://docs.google.com/spreadsheets/d/1vO9Sws6kMtrVtyvrAJptINXjK8TFBoX9xLYOVK_C8bQ/edit?usp=share_link"",""สุราษฎร์ธานี!M549"")"),5238283)</f>
        <v>5238283</v>
      </c>
      <c r="N549" s="45">
        <f ca="1">N550+N551+N552+N553+N554</f>
        <v>2502051.2199999997</v>
      </c>
      <c r="O549" s="45">
        <f t="shared" ca="1" si="272"/>
        <v>47.764720233710165</v>
      </c>
      <c r="P549" s="45">
        <f t="shared" ca="1" si="273"/>
        <v>47.764720233710165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20.25" customHeight="1">
      <c r="A550" s="573"/>
      <c r="B550" s="574"/>
      <c r="C550" s="575"/>
      <c r="D550" s="575"/>
      <c r="E550" s="575"/>
      <c r="F550" s="576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25642.5)</f>
        <v>25642.5</v>
      </c>
      <c r="O550" s="38"/>
      <c r="P550" s="3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20.25" customHeight="1">
      <c r="A551" s="573"/>
      <c r="B551" s="574"/>
      <c r="C551" s="574"/>
      <c r="D551" s="574"/>
      <c r="E551" s="575"/>
      <c r="F551" s="576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26350)</f>
        <v>26350</v>
      </c>
      <c r="O551" s="38"/>
      <c r="P551" s="3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20.25" customHeight="1">
      <c r="A552" s="573"/>
      <c r="B552" s="574"/>
      <c r="C552" s="575"/>
      <c r="D552" s="575"/>
      <c r="E552" s="575"/>
      <c r="F552" s="576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743643.77)</f>
        <v>743643.77</v>
      </c>
      <c r="O552" s="38"/>
      <c r="P552" s="3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20.25" customHeight="1">
      <c r="A553" s="573"/>
      <c r="B553" s="574"/>
      <c r="C553" s="574"/>
      <c r="D553" s="574"/>
      <c r="E553" s="575"/>
      <c r="F553" s="576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1441914.95)</f>
        <v>1441914.95</v>
      </c>
      <c r="O553" s="38"/>
      <c r="P553" s="3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20.25" customHeight="1">
      <c r="A554" s="573"/>
      <c r="B554" s="574"/>
      <c r="C554" s="574"/>
      <c r="D554" s="574"/>
      <c r="E554" s="575"/>
      <c r="F554" s="576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264500)</f>
        <v>264500</v>
      </c>
      <c r="O554" s="38"/>
      <c r="P554" s="3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20.25" customHeight="1">
      <c r="A555" s="596"/>
      <c r="B555" s="574"/>
      <c r="C555" s="574"/>
      <c r="D555" s="605" t="s">
        <v>21</v>
      </c>
      <c r="E555" s="575"/>
      <c r="F555" s="575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20.25" hidden="1" customHeight="1">
      <c r="A556" s="598"/>
      <c r="B556" s="604"/>
      <c r="C556" s="604"/>
      <c r="D556" s="599"/>
      <c r="E556" s="601" t="s">
        <v>18</v>
      </c>
      <c r="F556" s="599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20.25" hidden="1" customHeight="1">
      <c r="A557" s="598"/>
      <c r="B557" s="604"/>
      <c r="C557" s="604"/>
      <c r="D557" s="599"/>
      <c r="E557" s="601" t="s">
        <v>19</v>
      </c>
      <c r="F557" s="599"/>
      <c r="G557" s="602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20.25" customHeight="1">
      <c r="A558" s="607"/>
      <c r="B558" s="608"/>
      <c r="C558" s="574" t="s">
        <v>16</v>
      </c>
      <c r="D558" s="677" t="s">
        <v>38</v>
      </c>
      <c r="E558" s="611"/>
      <c r="F558" s="611"/>
      <c r="G558" s="612"/>
      <c r="H558" s="175"/>
      <c r="I558" s="162"/>
      <c r="J558" s="162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20.25" customHeight="1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674">
        <f t="shared" ref="I559:J559" ca="1" si="281">I576</f>
        <v>380540</v>
      </c>
      <c r="J559" s="674">
        <f t="shared" ca="1" si="281"/>
        <v>250075.71500000003</v>
      </c>
      <c r="K559" s="675">
        <f t="shared" ref="K559:K561" ca="1" si="282">IF(I559&gt;0,J559*100/I559,0)</f>
        <v>65.716012771324969</v>
      </c>
      <c r="L559" s="676"/>
      <c r="M559" s="676"/>
      <c r="N559" s="676"/>
      <c r="O559" s="676"/>
      <c r="P559" s="676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20.25" customHeight="1">
      <c r="A560" s="607"/>
      <c r="B560" s="608"/>
      <c r="C560" s="621" t="s">
        <v>236</v>
      </c>
      <c r="D560" s="608"/>
      <c r="E560" s="618"/>
      <c r="F560" s="618"/>
      <c r="G560" s="175"/>
      <c r="H560" s="192" t="s">
        <v>46</v>
      </c>
      <c r="I560" s="193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380540)</f>
        <v>380540</v>
      </c>
      <c r="J560" s="193">
        <f t="shared" ref="J560:J561" ca="1" si="283">J562+J564+J566</f>
        <v>379439.48950000003</v>
      </c>
      <c r="K560" s="412">
        <f t="shared" ca="1" si="282"/>
        <v>99.71080293793031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20.25" customHeight="1">
      <c r="A561" s="607"/>
      <c r="B561" s="608"/>
      <c r="C561" s="608"/>
      <c r="D561" s="618"/>
      <c r="E561" s="618"/>
      <c r="F561" s="618"/>
      <c r="G561" s="175"/>
      <c r="H561" s="192" t="s">
        <v>34</v>
      </c>
      <c r="I561" s="193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93">
        <f t="shared" ca="1" si="283"/>
        <v>42619</v>
      </c>
      <c r="K561" s="412">
        <f t="shared" ca="1" si="282"/>
        <v>99.637630336185538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20.25" customHeight="1">
      <c r="A562" s="607"/>
      <c r="B562" s="608"/>
      <c r="C562" s="608"/>
      <c r="D562" s="187" t="s">
        <v>237</v>
      </c>
      <c r="E562" s="618"/>
      <c r="F562" s="618"/>
      <c r="G562" s="175"/>
      <c r="H562" s="182" t="s">
        <v>46</v>
      </c>
      <c r="I562" s="162"/>
      <c r="J562" s="183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336139.934)</f>
        <v>336139.93400000001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20.25" customHeight="1">
      <c r="A563" s="607"/>
      <c r="B563" s="608"/>
      <c r="C563" s="608"/>
      <c r="D563" s="608"/>
      <c r="E563" s="618"/>
      <c r="F563" s="618"/>
      <c r="G563" s="175"/>
      <c r="H563" s="182" t="s">
        <v>34</v>
      </c>
      <c r="I563" s="162"/>
      <c r="J563" s="183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37970)</f>
        <v>37970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20.25" customHeight="1">
      <c r="A564" s="607"/>
      <c r="B564" s="608"/>
      <c r="C564" s="608"/>
      <c r="D564" s="187" t="s">
        <v>238</v>
      </c>
      <c r="E564" s="618"/>
      <c r="F564" s="618"/>
      <c r="G564" s="175"/>
      <c r="H564" s="182" t="s">
        <v>46</v>
      </c>
      <c r="I564" s="162"/>
      <c r="J564" s="183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35405.588)</f>
        <v>35405.588000000003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20.25" customHeight="1">
      <c r="A565" s="607"/>
      <c r="B565" s="608"/>
      <c r="C565" s="608"/>
      <c r="D565" s="618"/>
      <c r="E565" s="618"/>
      <c r="F565" s="618"/>
      <c r="G565" s="175"/>
      <c r="H565" s="182" t="s">
        <v>34</v>
      </c>
      <c r="I565" s="162"/>
      <c r="J565" s="183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3701)</f>
        <v>3701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20.25" customHeight="1">
      <c r="A566" s="607"/>
      <c r="B566" s="608"/>
      <c r="C566" s="608"/>
      <c r="D566" s="187" t="s">
        <v>239</v>
      </c>
      <c r="E566" s="618"/>
      <c r="F566" s="618"/>
      <c r="G566" s="175"/>
      <c r="H566" s="182" t="s">
        <v>46</v>
      </c>
      <c r="I566" s="162"/>
      <c r="J566" s="183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7893.9675)</f>
        <v>7893.9674999999997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20.25" customHeight="1">
      <c r="A567" s="607"/>
      <c r="B567" s="608"/>
      <c r="C567" s="608"/>
      <c r="D567" s="618"/>
      <c r="E567" s="618"/>
      <c r="F567" s="618"/>
      <c r="G567" s="175"/>
      <c r="H567" s="182" t="s">
        <v>34</v>
      </c>
      <c r="I567" s="162"/>
      <c r="J567" s="183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948)</f>
        <v>948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20.25" customHeight="1">
      <c r="A568" s="607"/>
      <c r="B568" s="608"/>
      <c r="C568" s="621" t="s">
        <v>240</v>
      </c>
      <c r="D568" s="618"/>
      <c r="E568" s="618"/>
      <c r="F568" s="618"/>
      <c r="G568" s="175"/>
      <c r="H568" s="192" t="s">
        <v>46</v>
      </c>
      <c r="I568" s="193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380540)</f>
        <v>380540</v>
      </c>
      <c r="J568" s="194">
        <f t="shared" ref="J568:J569" ca="1" si="284">J570+J572+J574</f>
        <v>352703.71500000003</v>
      </c>
      <c r="K568" s="412">
        <f t="shared" ref="K568:K569" ca="1" si="285">IF(I568&gt;0,J568*100/I568,0)</f>
        <v>92.685056761444258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20.25" customHeight="1">
      <c r="A569" s="607"/>
      <c r="B569" s="608"/>
      <c r="C569" s="608"/>
      <c r="D569" s="608"/>
      <c r="E569" s="618"/>
      <c r="F569" s="618"/>
      <c r="G569" s="175"/>
      <c r="H569" s="192" t="s">
        <v>34</v>
      </c>
      <c r="I569" s="193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4">
        <f t="shared" ca="1" si="284"/>
        <v>38027</v>
      </c>
      <c r="K569" s="412">
        <f t="shared" ca="1" si="285"/>
        <v>88.902136812082105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20.25" customHeight="1">
      <c r="A570" s="607"/>
      <c r="B570" s="608"/>
      <c r="C570" s="608"/>
      <c r="D570" s="187" t="s">
        <v>241</v>
      </c>
      <c r="E570" s="608"/>
      <c r="F570" s="618"/>
      <c r="G570" s="175"/>
      <c r="H570" s="182" t="s">
        <v>46</v>
      </c>
      <c r="I570" s="162"/>
      <c r="J570" s="183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322985.815)</f>
        <v>322985.815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20.25" customHeight="1">
      <c r="A571" s="607"/>
      <c r="B571" s="608"/>
      <c r="C571" s="608"/>
      <c r="D571" s="608"/>
      <c r="E571" s="618"/>
      <c r="F571" s="618"/>
      <c r="G571" s="175"/>
      <c r="H571" s="182" t="s">
        <v>34</v>
      </c>
      <c r="I571" s="162"/>
      <c r="J571" s="183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34929)</f>
        <v>34929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20.25" customHeight="1">
      <c r="A572" s="607"/>
      <c r="B572" s="608"/>
      <c r="C572" s="608"/>
      <c r="D572" s="187" t="s">
        <v>242</v>
      </c>
      <c r="E572" s="618"/>
      <c r="F572" s="618"/>
      <c r="G572" s="175"/>
      <c r="H572" s="182" t="s">
        <v>46</v>
      </c>
      <c r="I572" s="162"/>
      <c r="J572" s="183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22478.76)</f>
        <v>22478.76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20.25" customHeight="1">
      <c r="A573" s="607"/>
      <c r="B573" s="608"/>
      <c r="C573" s="608"/>
      <c r="D573" s="618"/>
      <c r="E573" s="618"/>
      <c r="F573" s="618"/>
      <c r="G573" s="175"/>
      <c r="H573" s="182" t="s">
        <v>34</v>
      </c>
      <c r="I573" s="162"/>
      <c r="J573" s="183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2258)</f>
        <v>2258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20.25" customHeight="1">
      <c r="A574" s="607"/>
      <c r="B574" s="608"/>
      <c r="C574" s="608"/>
      <c r="D574" s="187" t="s">
        <v>243</v>
      </c>
      <c r="E574" s="618"/>
      <c r="F574" s="618"/>
      <c r="G574" s="175"/>
      <c r="H574" s="182" t="s">
        <v>46</v>
      </c>
      <c r="I574" s="162"/>
      <c r="J574" s="183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7239.14)</f>
        <v>7239.14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20.25" customHeight="1">
      <c r="A575" s="607"/>
      <c r="B575" s="608"/>
      <c r="C575" s="608"/>
      <c r="D575" s="608"/>
      <c r="E575" s="618"/>
      <c r="F575" s="618"/>
      <c r="G575" s="175"/>
      <c r="H575" s="182" t="s">
        <v>34</v>
      </c>
      <c r="I575" s="162"/>
      <c r="J575" s="183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840)</f>
        <v>840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20.25" customHeight="1">
      <c r="A576" s="607"/>
      <c r="B576" s="608"/>
      <c r="C576" s="621" t="s">
        <v>244</v>
      </c>
      <c r="D576" s="608"/>
      <c r="E576" s="608"/>
      <c r="F576" s="618"/>
      <c r="G576" s="175"/>
      <c r="H576" s="192" t="s">
        <v>46</v>
      </c>
      <c r="I576" s="193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380540)</f>
        <v>380540</v>
      </c>
      <c r="J576" s="194">
        <f t="shared" ref="J576:J577" ca="1" si="286">J578+J580+J582+J588+J590</f>
        <v>250075.71500000003</v>
      </c>
      <c r="K576" s="412">
        <f t="shared" ref="K576:K577" ca="1" si="287">IF(I576&gt;0,J576*100/I576,0)</f>
        <v>65.716012771324969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20.25" customHeight="1">
      <c r="A577" s="607"/>
      <c r="B577" s="608"/>
      <c r="C577" s="608"/>
      <c r="D577" s="608"/>
      <c r="E577" s="618"/>
      <c r="F577" s="618"/>
      <c r="G577" s="175"/>
      <c r="H577" s="192" t="s">
        <v>34</v>
      </c>
      <c r="I577" s="193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4">
        <f t="shared" ca="1" si="286"/>
        <v>25076</v>
      </c>
      <c r="K577" s="412">
        <f t="shared" ca="1" si="287"/>
        <v>58.62439799878431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20.25" customHeight="1">
      <c r="A578" s="607"/>
      <c r="B578" s="608"/>
      <c r="C578" s="608"/>
      <c r="D578" s="187" t="s">
        <v>245</v>
      </c>
      <c r="E578" s="618"/>
      <c r="F578" s="618"/>
      <c r="G578" s="175"/>
      <c r="H578" s="182" t="s">
        <v>46</v>
      </c>
      <c r="I578" s="162"/>
      <c r="J578" s="183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230065.815)</f>
        <v>230065.815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20.25" customHeight="1">
      <c r="A579" s="607"/>
      <c r="B579" s="608"/>
      <c r="C579" s="608"/>
      <c r="D579" s="608"/>
      <c r="E579" s="618"/>
      <c r="F579" s="618"/>
      <c r="G579" s="175"/>
      <c r="H579" s="182" t="s">
        <v>34</v>
      </c>
      <c r="I579" s="162"/>
      <c r="J579" s="183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23077)</f>
        <v>23077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20.25" customHeight="1">
      <c r="A580" s="607"/>
      <c r="B580" s="608"/>
      <c r="C580" s="608"/>
      <c r="D580" s="187" t="s">
        <v>246</v>
      </c>
      <c r="E580" s="618"/>
      <c r="F580" s="618"/>
      <c r="G580" s="175"/>
      <c r="H580" s="182" t="s">
        <v>46</v>
      </c>
      <c r="I580" s="162"/>
      <c r="J580" s="183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16498.76)</f>
        <v>16498.759999999998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20.25" customHeight="1">
      <c r="A581" s="607"/>
      <c r="B581" s="608"/>
      <c r="C581" s="608"/>
      <c r="D581" s="608"/>
      <c r="E581" s="618"/>
      <c r="F581" s="618"/>
      <c r="G581" s="175"/>
      <c r="H581" s="182" t="s">
        <v>34</v>
      </c>
      <c r="I581" s="162"/>
      <c r="J581" s="183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1584)</f>
        <v>1584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20.25" customHeight="1">
      <c r="A582" s="607"/>
      <c r="B582" s="608"/>
      <c r="C582" s="608"/>
      <c r="D582" s="187" t="s">
        <v>247</v>
      </c>
      <c r="E582" s="618"/>
      <c r="F582" s="618"/>
      <c r="G582" s="175"/>
      <c r="H582" s="182" t="s">
        <v>46</v>
      </c>
      <c r="I582" s="162"/>
      <c r="J582" s="194">
        <f t="shared" ref="J582:J583" ca="1" si="288">J584+J586</f>
        <v>3511.14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20.25" customHeight="1">
      <c r="A583" s="607"/>
      <c r="B583" s="608"/>
      <c r="C583" s="608"/>
      <c r="D583" s="608"/>
      <c r="E583" s="618"/>
      <c r="F583" s="618"/>
      <c r="G583" s="175"/>
      <c r="H583" s="182" t="s">
        <v>34</v>
      </c>
      <c r="I583" s="162"/>
      <c r="J583" s="194">
        <f t="shared" ca="1" si="288"/>
        <v>415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20.25" customHeight="1">
      <c r="A584" s="607"/>
      <c r="B584" s="608"/>
      <c r="C584" s="608"/>
      <c r="D584" s="608"/>
      <c r="E584" s="187" t="s">
        <v>248</v>
      </c>
      <c r="F584" s="618"/>
      <c r="G584" s="175"/>
      <c r="H584" s="182" t="s">
        <v>46</v>
      </c>
      <c r="I584" s="162"/>
      <c r="J584" s="183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3511.14)</f>
        <v>3511.14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20.25" customHeight="1">
      <c r="A585" s="607"/>
      <c r="B585" s="608"/>
      <c r="C585" s="608"/>
      <c r="D585" s="608"/>
      <c r="E585" s="618"/>
      <c r="F585" s="618"/>
      <c r="G585" s="175"/>
      <c r="H585" s="182" t="s">
        <v>34</v>
      </c>
      <c r="I585" s="162"/>
      <c r="J585" s="183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415)</f>
        <v>415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20.25" customHeight="1">
      <c r="A586" s="607"/>
      <c r="B586" s="608"/>
      <c r="C586" s="608"/>
      <c r="D586" s="608"/>
      <c r="E586" s="187" t="s">
        <v>249</v>
      </c>
      <c r="F586" s="618"/>
      <c r="G586" s="175"/>
      <c r="H586" s="182" t="s">
        <v>46</v>
      </c>
      <c r="I586" s="162"/>
      <c r="J586" s="183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20.25" customHeight="1">
      <c r="A587" s="607"/>
      <c r="B587" s="608"/>
      <c r="C587" s="608"/>
      <c r="D587" s="608"/>
      <c r="E587" s="608"/>
      <c r="F587" s="618"/>
      <c r="G587" s="175"/>
      <c r="H587" s="182" t="s">
        <v>34</v>
      </c>
      <c r="I587" s="162"/>
      <c r="J587" s="183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20.25" customHeight="1">
      <c r="A588" s="607"/>
      <c r="B588" s="608"/>
      <c r="C588" s="608"/>
      <c r="D588" s="187" t="s">
        <v>250</v>
      </c>
      <c r="E588" s="618"/>
      <c r="F588" s="618"/>
      <c r="G588" s="175"/>
      <c r="H588" s="182" t="s">
        <v>46</v>
      </c>
      <c r="I588" s="162"/>
      <c r="J588" s="183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0)</f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20.25" customHeight="1">
      <c r="A589" s="607"/>
      <c r="B589" s="608"/>
      <c r="C589" s="608"/>
      <c r="D589" s="608"/>
      <c r="E589" s="608"/>
      <c r="F589" s="618"/>
      <c r="G589" s="175"/>
      <c r="H589" s="182" t="s">
        <v>34</v>
      </c>
      <c r="I589" s="162"/>
      <c r="J589" s="183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0)</f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20.25" customHeight="1">
      <c r="A590" s="607"/>
      <c r="B590" s="608"/>
      <c r="C590" s="608"/>
      <c r="D590" s="187" t="s">
        <v>251</v>
      </c>
      <c r="E590" s="618"/>
      <c r="F590" s="618"/>
      <c r="G590" s="175"/>
      <c r="H590" s="182" t="s">
        <v>46</v>
      </c>
      <c r="I590" s="162"/>
      <c r="J590" s="183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20.25" customHeight="1">
      <c r="A591" s="694"/>
      <c r="B591" s="695"/>
      <c r="C591" s="695"/>
      <c r="D591" s="695"/>
      <c r="E591" s="577"/>
      <c r="F591" s="577"/>
      <c r="G591" s="696"/>
      <c r="H591" s="697" t="s">
        <v>34</v>
      </c>
      <c r="I591" s="698"/>
      <c r="J591" s="699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700"/>
      <c r="L591" s="700"/>
      <c r="M591" s="700"/>
      <c r="N591" s="700"/>
      <c r="O591" s="700"/>
      <c r="P591" s="700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20.25" customHeight="1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89">I593</f>
        <v>44574.529999999897</v>
      </c>
      <c r="J592" s="674">
        <f t="shared" ca="1" si="289"/>
        <v>399</v>
      </c>
      <c r="K592" s="675">
        <f t="shared" ref="K592:K594" ca="1" si="290">IF(I592&gt;0,J592*100/I592,0)</f>
        <v>0.89513002156164279</v>
      </c>
      <c r="L592" s="676"/>
      <c r="M592" s="676"/>
      <c r="N592" s="676"/>
      <c r="O592" s="676"/>
      <c r="P592" s="676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20.25" customHeight="1">
      <c r="A593" s="607"/>
      <c r="B593" s="608"/>
      <c r="C593" s="621" t="s">
        <v>253</v>
      </c>
      <c r="D593" s="608"/>
      <c r="E593" s="608"/>
      <c r="F593" s="618"/>
      <c r="G593" s="175"/>
      <c r="H593" s="192" t="s">
        <v>46</v>
      </c>
      <c r="I593" s="702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44574.5299999999)</f>
        <v>44574.529999999897</v>
      </c>
      <c r="J593" s="193">
        <f t="shared" ref="J593:J594" ca="1" si="291">J595+J603+J609</f>
        <v>399</v>
      </c>
      <c r="K593" s="412">
        <f t="shared" ca="1" si="290"/>
        <v>0.89513002156164279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20.25" customHeight="1">
      <c r="A594" s="607"/>
      <c r="B594" s="608"/>
      <c r="C594" s="608"/>
      <c r="D594" s="608"/>
      <c r="E594" s="618"/>
      <c r="F594" s="618"/>
      <c r="G594" s="175"/>
      <c r="H594" s="192" t="s">
        <v>34</v>
      </c>
      <c r="I594" s="193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4230)</f>
        <v>4230</v>
      </c>
      <c r="J594" s="193">
        <f t="shared" ca="1" si="291"/>
        <v>49</v>
      </c>
      <c r="K594" s="412">
        <f t="shared" ca="1" si="290"/>
        <v>1.1583924349881796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20.25" customHeight="1">
      <c r="A595" s="607"/>
      <c r="B595" s="608"/>
      <c r="C595" s="617" t="s">
        <v>254</v>
      </c>
      <c r="D595" s="608"/>
      <c r="E595" s="608"/>
      <c r="F595" s="618"/>
      <c r="G595" s="175"/>
      <c r="H595" s="182" t="s">
        <v>46</v>
      </c>
      <c r="I595" s="162"/>
      <c r="J595" s="162">
        <f t="shared" ref="J595:J596" ca="1" si="292">J597+J599</f>
        <v>399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20.25" customHeight="1">
      <c r="A596" s="607"/>
      <c r="B596" s="608"/>
      <c r="C596" s="608"/>
      <c r="D596" s="608"/>
      <c r="E596" s="618"/>
      <c r="F596" s="618"/>
      <c r="G596" s="175"/>
      <c r="H596" s="182" t="s">
        <v>34</v>
      </c>
      <c r="I596" s="162"/>
      <c r="J596" s="162">
        <f t="shared" ca="1" si="292"/>
        <v>49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20.25" customHeight="1">
      <c r="A597" s="607"/>
      <c r="B597" s="608"/>
      <c r="C597" s="608"/>
      <c r="D597" s="263" t="s">
        <v>255</v>
      </c>
      <c r="E597" s="618"/>
      <c r="F597" s="618"/>
      <c r="G597" s="175"/>
      <c r="H597" s="182" t="s">
        <v>46</v>
      </c>
      <c r="I597" s="162"/>
      <c r="J597" s="183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399)</f>
        <v>399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20.25" customHeight="1">
      <c r="A598" s="607"/>
      <c r="B598" s="608"/>
      <c r="C598" s="608"/>
      <c r="D598" s="608"/>
      <c r="E598" s="618"/>
      <c r="F598" s="618"/>
      <c r="G598" s="175"/>
      <c r="H598" s="182" t="s">
        <v>34</v>
      </c>
      <c r="I598" s="37"/>
      <c r="J598" s="183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49)</f>
        <v>49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20.25" customHeight="1">
      <c r="A599" s="607"/>
      <c r="B599" s="608"/>
      <c r="C599" s="608"/>
      <c r="D599" s="263" t="s">
        <v>256</v>
      </c>
      <c r="E599" s="618"/>
      <c r="F599" s="618"/>
      <c r="G599" s="175"/>
      <c r="H599" s="182" t="s">
        <v>46</v>
      </c>
      <c r="I599" s="37"/>
      <c r="J599" s="183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0)</f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20.25" customHeight="1">
      <c r="A600" s="607"/>
      <c r="B600" s="608"/>
      <c r="C600" s="608"/>
      <c r="D600" s="608"/>
      <c r="E600" s="618"/>
      <c r="F600" s="618"/>
      <c r="G600" s="175"/>
      <c r="H600" s="182" t="s">
        <v>34</v>
      </c>
      <c r="I600" s="37"/>
      <c r="J600" s="183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0)</f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20.25" customHeight="1">
      <c r="A601" s="607"/>
      <c r="B601" s="608"/>
      <c r="C601" s="608"/>
      <c r="D601" s="263" t="s">
        <v>257</v>
      </c>
      <c r="E601" s="618"/>
      <c r="F601" s="618"/>
      <c r="G601" s="175"/>
      <c r="H601" s="182" t="s">
        <v>46</v>
      </c>
      <c r="I601" s="37"/>
      <c r="J601" s="183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0)</f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20.25" customHeight="1">
      <c r="A602" s="607"/>
      <c r="B602" s="608"/>
      <c r="C602" s="608"/>
      <c r="D602" s="608"/>
      <c r="E602" s="618"/>
      <c r="F602" s="618"/>
      <c r="G602" s="175"/>
      <c r="H602" s="182" t="s">
        <v>34</v>
      </c>
      <c r="I602" s="37"/>
      <c r="J602" s="183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0)</f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20.25" customHeight="1">
      <c r="A603" s="607"/>
      <c r="B603" s="608"/>
      <c r="C603" s="703" t="s">
        <v>258</v>
      </c>
      <c r="D603" s="608"/>
      <c r="E603" s="608"/>
      <c r="F603" s="618"/>
      <c r="G603" s="175"/>
      <c r="H603" s="182" t="s">
        <v>46</v>
      </c>
      <c r="I603" s="37"/>
      <c r="J603" s="37">
        <f t="shared" ref="J603:J604" ca="1" si="293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20.25" customHeight="1">
      <c r="A604" s="607"/>
      <c r="B604" s="608"/>
      <c r="C604" s="608"/>
      <c r="D604" s="608"/>
      <c r="E604" s="618"/>
      <c r="F604" s="618"/>
      <c r="G604" s="175"/>
      <c r="H604" s="182" t="s">
        <v>34</v>
      </c>
      <c r="I604" s="37"/>
      <c r="J604" s="37">
        <f t="shared" ca="1" si="293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20.25" customHeight="1">
      <c r="A605" s="607"/>
      <c r="B605" s="608"/>
      <c r="C605" s="608"/>
      <c r="D605" s="703" t="s">
        <v>259</v>
      </c>
      <c r="E605" s="618"/>
      <c r="F605" s="618"/>
      <c r="G605" s="175"/>
      <c r="H605" s="182" t="s">
        <v>46</v>
      </c>
      <c r="I605" s="37"/>
      <c r="J605" s="183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0)</f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20.25" customHeight="1">
      <c r="A606" s="607"/>
      <c r="B606" s="608"/>
      <c r="C606" s="608"/>
      <c r="D606" s="608"/>
      <c r="E606" s="608"/>
      <c r="F606" s="618"/>
      <c r="G606" s="175"/>
      <c r="H606" s="182" t="s">
        <v>34</v>
      </c>
      <c r="I606" s="37"/>
      <c r="J606" s="183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0)</f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20.25" customHeight="1">
      <c r="A607" s="607"/>
      <c r="B607" s="608"/>
      <c r="C607" s="608"/>
      <c r="D607" s="703" t="s">
        <v>260</v>
      </c>
      <c r="E607" s="608"/>
      <c r="F607" s="618"/>
      <c r="G607" s="175"/>
      <c r="H607" s="182" t="s">
        <v>46</v>
      </c>
      <c r="I607" s="37"/>
      <c r="J607" s="183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0)</f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20.25" customHeight="1">
      <c r="A608" s="607"/>
      <c r="B608" s="608"/>
      <c r="C608" s="608"/>
      <c r="D608" s="608"/>
      <c r="E608" s="618"/>
      <c r="F608" s="618"/>
      <c r="G608" s="175"/>
      <c r="H608" s="182" t="s">
        <v>34</v>
      </c>
      <c r="I608" s="37"/>
      <c r="J608" s="183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0)</f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20.25" customHeight="1">
      <c r="A609" s="607"/>
      <c r="B609" s="608"/>
      <c r="C609" s="617" t="s">
        <v>261</v>
      </c>
      <c r="D609" s="608"/>
      <c r="E609" s="608"/>
      <c r="F609" s="618"/>
      <c r="G609" s="175"/>
      <c r="H609" s="182" t="s">
        <v>46</v>
      </c>
      <c r="I609" s="37"/>
      <c r="J609" s="183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0)</f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20.25" customHeight="1">
      <c r="A610" s="607"/>
      <c r="B610" s="608"/>
      <c r="C610" s="608"/>
      <c r="D610" s="608"/>
      <c r="E610" s="618"/>
      <c r="F610" s="618"/>
      <c r="G610" s="175"/>
      <c r="H610" s="182" t="s">
        <v>34</v>
      </c>
      <c r="I610" s="37"/>
      <c r="J610" s="183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0)</f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20.25" customHeight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674">
        <f>J614+J616</f>
        <v>0</v>
      </c>
      <c r="K611" s="675">
        <f t="shared" ref="K611:K613" si="294">IF(I611&gt;0,J611*100/I611,0)</f>
        <v>0</v>
      </c>
      <c r="L611" s="676"/>
      <c r="M611" s="676"/>
      <c r="N611" s="676"/>
      <c r="O611" s="676"/>
      <c r="P611" s="676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20.25" hidden="1" customHeight="1">
      <c r="A612" s="707"/>
      <c r="B612" s="708"/>
      <c r="C612" s="709" t="s">
        <v>263</v>
      </c>
      <c r="D612" s="708"/>
      <c r="E612" s="708"/>
      <c r="F612" s="710"/>
      <c r="G612" s="711"/>
      <c r="H612" s="712" t="s">
        <v>46</v>
      </c>
      <c r="I612" s="713">
        <v>0</v>
      </c>
      <c r="J612" s="714">
        <f t="shared" ref="J612:J613" si="295">J614+J616</f>
        <v>0</v>
      </c>
      <c r="K612" s="715">
        <f t="shared" si="294"/>
        <v>0</v>
      </c>
      <c r="L612" s="716"/>
      <c r="M612" s="716"/>
      <c r="N612" s="716"/>
      <c r="O612" s="716"/>
      <c r="P612" s="716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20.25" hidden="1" customHeight="1">
      <c r="A613" s="707"/>
      <c r="B613" s="708"/>
      <c r="C613" s="717" t="s">
        <v>264</v>
      </c>
      <c r="D613" s="708"/>
      <c r="E613" s="708"/>
      <c r="F613" s="710"/>
      <c r="G613" s="711"/>
      <c r="H613" s="712" t="s">
        <v>34</v>
      </c>
      <c r="I613" s="713">
        <v>0</v>
      </c>
      <c r="J613" s="714">
        <f t="shared" si="295"/>
        <v>0</v>
      </c>
      <c r="K613" s="715">
        <f t="shared" si="294"/>
        <v>0</v>
      </c>
      <c r="L613" s="716"/>
      <c r="M613" s="716"/>
      <c r="N613" s="716"/>
      <c r="O613" s="716"/>
      <c r="P613" s="716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20.25" hidden="1" customHeight="1">
      <c r="A614" s="613"/>
      <c r="B614" s="614"/>
      <c r="C614" s="614"/>
      <c r="D614" s="718" t="s">
        <v>265</v>
      </c>
      <c r="E614" s="614"/>
      <c r="F614" s="600"/>
      <c r="G614" s="366"/>
      <c r="H614" s="370" t="s">
        <v>46</v>
      </c>
      <c r="I614" s="44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20.25" hidden="1" customHeight="1">
      <c r="A615" s="613"/>
      <c r="B615" s="614"/>
      <c r="C615" s="614"/>
      <c r="D615" s="614"/>
      <c r="E615" s="614"/>
      <c r="F615" s="600"/>
      <c r="G615" s="366"/>
      <c r="H615" s="370" t="s">
        <v>34</v>
      </c>
      <c r="I615" s="44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20.25" hidden="1" customHeight="1">
      <c r="A616" s="613"/>
      <c r="B616" s="614"/>
      <c r="C616" s="614"/>
      <c r="D616" s="719" t="s">
        <v>265</v>
      </c>
      <c r="E616" s="600"/>
      <c r="F616" s="600"/>
      <c r="G616" s="366"/>
      <c r="H616" s="370" t="s">
        <v>46</v>
      </c>
      <c r="I616" s="44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20.25" hidden="1" customHeight="1">
      <c r="A617" s="613"/>
      <c r="B617" s="614"/>
      <c r="C617" s="614"/>
      <c r="D617" s="614"/>
      <c r="E617" s="600"/>
      <c r="F617" s="600"/>
      <c r="G617" s="366"/>
      <c r="H617" s="370" t="s">
        <v>34</v>
      </c>
      <c r="I617" s="44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20.25" hidden="1" customHeight="1">
      <c r="A618" s="613"/>
      <c r="B618" s="614"/>
      <c r="C618" s="614"/>
      <c r="D618" s="719" t="s">
        <v>266</v>
      </c>
      <c r="E618" s="600"/>
      <c r="F618" s="600"/>
      <c r="G618" s="366"/>
      <c r="H618" s="370" t="s">
        <v>46</v>
      </c>
      <c r="I618" s="44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20.25" hidden="1" customHeight="1">
      <c r="A619" s="613"/>
      <c r="B619" s="614"/>
      <c r="C619" s="614"/>
      <c r="D619" s="614"/>
      <c r="E619" s="600"/>
      <c r="F619" s="600"/>
      <c r="G619" s="366"/>
      <c r="H619" s="370" t="s">
        <v>34</v>
      </c>
      <c r="I619" s="44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20.25" customHeight="1">
      <c r="A620" s="720"/>
      <c r="B620" s="721"/>
      <c r="C620" s="722" t="s">
        <v>267</v>
      </c>
      <c r="D620" s="721"/>
      <c r="E620" s="721"/>
      <c r="F620" s="723"/>
      <c r="G620" s="724"/>
      <c r="H620" s="725" t="s">
        <v>46</v>
      </c>
      <c r="I620" s="726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285)</f>
        <v>285</v>
      </c>
      <c r="J620" s="726">
        <f t="shared" ref="J620:J621" ca="1" si="296">J622+J624+J626</f>
        <v>0</v>
      </c>
      <c r="K620" s="727">
        <f t="shared" ref="K620:K621" ca="1" si="297">IF(I620&gt;0,J620*100/I620,0)</f>
        <v>0</v>
      </c>
      <c r="L620" s="728"/>
      <c r="M620" s="728"/>
      <c r="N620" s="728"/>
      <c r="O620" s="728"/>
      <c r="P620" s="728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20.25" customHeight="1">
      <c r="A621" s="720"/>
      <c r="B621" s="721"/>
      <c r="C621" s="729" t="s">
        <v>268</v>
      </c>
      <c r="D621" s="721"/>
      <c r="E621" s="721"/>
      <c r="F621" s="723"/>
      <c r="G621" s="724"/>
      <c r="H621" s="725" t="s">
        <v>34</v>
      </c>
      <c r="I621" s="726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39)</f>
        <v>39</v>
      </c>
      <c r="J621" s="726">
        <f t="shared" ca="1" si="296"/>
        <v>0</v>
      </c>
      <c r="K621" s="727">
        <f t="shared" ca="1" si="297"/>
        <v>0</v>
      </c>
      <c r="L621" s="728"/>
      <c r="M621" s="728"/>
      <c r="N621" s="728"/>
      <c r="O621" s="728"/>
      <c r="P621" s="728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20.25" customHeight="1">
      <c r="A622" s="607"/>
      <c r="B622" s="608"/>
      <c r="C622" s="608"/>
      <c r="D622" s="263" t="s">
        <v>269</v>
      </c>
      <c r="E622" s="618"/>
      <c r="F622" s="618"/>
      <c r="G622" s="175"/>
      <c r="H622" s="182" t="s">
        <v>46</v>
      </c>
      <c r="I622" s="37"/>
      <c r="J622" s="183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0)</f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20.25" customHeight="1">
      <c r="A623" s="607"/>
      <c r="B623" s="608"/>
      <c r="C623" s="608"/>
      <c r="D623" s="608"/>
      <c r="E623" s="618"/>
      <c r="F623" s="618"/>
      <c r="G623" s="175"/>
      <c r="H623" s="182" t="s">
        <v>34</v>
      </c>
      <c r="I623" s="37"/>
      <c r="J623" s="183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0)</f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20.25" customHeight="1">
      <c r="A624" s="607"/>
      <c r="B624" s="608"/>
      <c r="C624" s="608"/>
      <c r="D624" s="263" t="s">
        <v>265</v>
      </c>
      <c r="E624" s="618"/>
      <c r="F624" s="618"/>
      <c r="G624" s="175"/>
      <c r="H624" s="182" t="s">
        <v>46</v>
      </c>
      <c r="I624" s="37"/>
      <c r="J624" s="183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0)</f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20.25" customHeight="1">
      <c r="A625" s="607"/>
      <c r="B625" s="608"/>
      <c r="C625" s="608"/>
      <c r="D625" s="608"/>
      <c r="E625" s="618"/>
      <c r="F625" s="618"/>
      <c r="G625" s="175"/>
      <c r="H625" s="182" t="s">
        <v>34</v>
      </c>
      <c r="I625" s="37"/>
      <c r="J625" s="183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0)</f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20.25" customHeight="1">
      <c r="A626" s="607"/>
      <c r="B626" s="608"/>
      <c r="C626" s="608"/>
      <c r="D626" s="263" t="s">
        <v>270</v>
      </c>
      <c r="E626" s="618"/>
      <c r="F626" s="618"/>
      <c r="G626" s="175"/>
      <c r="H626" s="182" t="s">
        <v>46</v>
      </c>
      <c r="I626" s="37"/>
      <c r="J626" s="183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0)</f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20.25" customHeight="1">
      <c r="A627" s="730"/>
      <c r="B627" s="731"/>
      <c r="C627" s="731"/>
      <c r="D627" s="731"/>
      <c r="E627" s="732"/>
      <c r="F627" s="732"/>
      <c r="G627" s="733"/>
      <c r="H627" s="423" t="s">
        <v>34</v>
      </c>
      <c r="I627" s="505"/>
      <c r="J627" s="425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0)</f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20.25" customHeight="1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98">I651</f>
        <v>324</v>
      </c>
      <c r="J628" s="739">
        <f t="shared" ca="1" si="298"/>
        <v>80</v>
      </c>
      <c r="K628" s="740">
        <f ca="1">IF(I628&gt;0,J628*100/I628,0)</f>
        <v>24.691358024691358</v>
      </c>
      <c r="L628" s="741"/>
      <c r="M628" s="741"/>
      <c r="N628" s="741"/>
      <c r="O628" s="741"/>
      <c r="P628" s="741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20.25" customHeight="1">
      <c r="A629" s="596"/>
      <c r="B629" s="575"/>
      <c r="C629" s="575" t="s">
        <v>16</v>
      </c>
      <c r="D629" s="847" t="s">
        <v>17</v>
      </c>
      <c r="E629" s="841"/>
      <c r="F629" s="841"/>
      <c r="G629" s="189"/>
      <c r="H629" s="597" t="s">
        <v>12</v>
      </c>
      <c r="I629" s="37"/>
      <c r="J629" s="37"/>
      <c r="K629" s="38"/>
      <c r="L629" s="195">
        <f t="shared" ref="L629:N629" ca="1" si="299">L630+L631</f>
        <v>1558770</v>
      </c>
      <c r="M629" s="195">
        <f t="shared" ca="1" si="299"/>
        <v>1558770</v>
      </c>
      <c r="N629" s="195">
        <f t="shared" ca="1" si="299"/>
        <v>370365</v>
      </c>
      <c r="O629" s="195">
        <f t="shared" ref="O629:O634" ca="1" si="300">IF(L629&gt;0,N629*100/L629,0)</f>
        <v>23.760080063126697</v>
      </c>
      <c r="P629" s="195">
        <f t="shared" ref="P629:P634" ca="1" si="301">IF(M629&gt;0,N629*100/M629,0)</f>
        <v>23.760080063126697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20.25" hidden="1" customHeight="1">
      <c r="A630" s="598"/>
      <c r="B630" s="599"/>
      <c r="C630" s="599"/>
      <c r="D630" s="600"/>
      <c r="E630" s="601" t="s">
        <v>185</v>
      </c>
      <c r="F630" s="599"/>
      <c r="G630" s="602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20.25" hidden="1" customHeight="1">
      <c r="A631" s="598"/>
      <c r="B631" s="604"/>
      <c r="C631" s="599"/>
      <c r="D631" s="600"/>
      <c r="E631" s="601" t="s">
        <v>186</v>
      </c>
      <c r="F631" s="599"/>
      <c r="G631" s="602"/>
      <c r="H631" s="165" t="s">
        <v>12</v>
      </c>
      <c r="I631" s="44"/>
      <c r="J631" s="44"/>
      <c r="K631" s="45"/>
      <c r="L631" s="45">
        <f t="shared" ref="L631:N631" ca="1" si="303">L634+L641</f>
        <v>1558770</v>
      </c>
      <c r="M631" s="45">
        <f t="shared" ca="1" si="303"/>
        <v>1558770</v>
      </c>
      <c r="N631" s="45">
        <f t="shared" ca="1" si="303"/>
        <v>370365</v>
      </c>
      <c r="O631" s="45">
        <f t="shared" ca="1" si="300"/>
        <v>23.760080063126697</v>
      </c>
      <c r="P631" s="45">
        <f t="shared" ca="1" si="301"/>
        <v>23.760080063126697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20.25" customHeight="1">
      <c r="A632" s="596"/>
      <c r="B632" s="574"/>
      <c r="C632" s="575"/>
      <c r="D632" s="605" t="s">
        <v>20</v>
      </c>
      <c r="E632" s="575"/>
      <c r="F632" s="575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1558770</v>
      </c>
      <c r="M632" s="38">
        <f t="shared" ca="1" si="304"/>
        <v>1558770</v>
      </c>
      <c r="N632" s="38">
        <f t="shared" ca="1" si="304"/>
        <v>370365</v>
      </c>
      <c r="O632" s="38">
        <f t="shared" ca="1" si="300"/>
        <v>23.760080063126697</v>
      </c>
      <c r="P632" s="38">
        <f t="shared" ca="1" si="301"/>
        <v>23.760080063126697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20.25" hidden="1" customHeight="1">
      <c r="A633" s="598"/>
      <c r="B633" s="604"/>
      <c r="C633" s="599"/>
      <c r="D633" s="600"/>
      <c r="E633" s="601" t="s">
        <v>185</v>
      </c>
      <c r="F633" s="599"/>
      <c r="G633" s="602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20.25" hidden="1" customHeight="1">
      <c r="A634" s="598"/>
      <c r="B634" s="604"/>
      <c r="C634" s="599"/>
      <c r="D634" s="600"/>
      <c r="E634" s="601" t="s">
        <v>186</v>
      </c>
      <c r="F634" s="599"/>
      <c r="G634" s="602"/>
      <c r="H634" s="165" t="s">
        <v>12</v>
      </c>
      <c r="I634" s="44"/>
      <c r="J634" s="44"/>
      <c r="K634" s="45"/>
      <c r="L634" s="45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93">
        <f ca="1">IFERROR(__xludf.DUMMYFUNCTION("IMPORTRANGE(""https://docs.google.com/spreadsheets/d/1kC41EOXpGBFOW658Fs3oD8beYlym0-zO54WY-2Qnp9I/edit?usp=share_link"",""กระบี่!M634"")
+IMPORTRANGE(""https://docs.google.com/spreadsheets/d/1FbzMZY_f3MDiEuK7RpCQKrilJ_kpX0Wm7QBZ1L7EjIU/edit?usp=share_link"&amp;""",""ชุมพร!M634"")+IMPORTRANGE(""https://docs.google.com/spreadsheets/d/1v5sN-00LrXuhBxw4dkh2GrG_z4l5oAqOdJRBCsUyMaM/edit?usp=share_link"",""ตรัง!M634"")+IMPORTRANGE(""https://docs.google.com/spreadsheets/d/1T5rRTzFc79aSIvqnzkZNvwPstq829QYz_xALlO1Z0s8/edi"&amp;"t?usp=share_link"",""นครศรีธรรมราช!M634"")+IMPORTRANGE(""https://docs.google.com/spreadsheets/d/1BeghqumK0IvCmRd2QOy6_afsZq7ZtAGrSnVJy2u7WmY/edit?usp=share_link"",""นราธิวาส!M634"")+IMPORTRANGE(""https://docs.google.com/spreadsheets/d/1IwnW3-jjRf74MCLW-6P"&amp;"iFwMUffRQXZwZA7YM609NmRc/edit?usp=share_link"",""ปัตตานี!M634"")+IMPORTRANGE(""https://docs.google.com/spreadsheets/d/1vl4QWbWdFruual5o_wdo6ZSqXZ_it806oja4CctTLKs/edit?usp=share_link"",""พังงา!M634"")+IMPORTRANGE(""https://docs.google.com/spreadsheets/d/1"&amp;"b6QssHQp2FoAPSMKHOy273KNzAomaIKhtdlvuZ_zDNE/edit?usp=share_link"",""พัทลุง!M634"")+IMPORTRANGE(""https://docs.google.com/spreadsheets/d/1o7UZe4_OqlqtLDHrj01Z2YFRSZDf1DMy1n3XViHaxRc/edit?usp=share_link"",""ภูเก็ต!M634"")+IMPORTRANGE(""https://docs.google.c"&amp;"om/spreadsheets/d/1ctPm1vUzcUCPuOj9-eoHUD85PqINFqUB0TjdSWmR5-c/edit?usp=share_link"",""ยะลา!M634"")+IMPORTRANGE(""https://docs.google.com/spreadsheets/d/1YiDIE7Klmt8osgdapRqYWNr7iPGFSsiJqq46S7PYRE0/edit?usp=share_link"",""ระนอง!M634"")+IMPORTRANGE(""https"&amp;"://docs.google.com/spreadsheets/d/16o_4B-V7AWw_6E93bSpXj_XxVv1oVQctk-B6z1dNEWU/edit?usp=share_link"",""สงขลา!M634"")+IMPORTRANGE(""https://docs.google.com/spreadsheets/d/16cywr71Fj4fA5OGRHsZh30ZG2gwJhMAQv69oVBzYHv0/edit?usp=share_link"",""สตูล!M634"")+IMP"&amp;"ORTRANGE(""https://docs.google.com/spreadsheets/d/1vO9Sws6kMtrVtyvrAJptINXjK8TFBoX9xLYOVK_C8bQ/edit?usp=share_link"",""สุราษฎร์ธานี!M634"")"),1558770)</f>
        <v>1558770</v>
      </c>
      <c r="N634" s="45">
        <f ca="1">N635+N636+N637+N638</f>
        <v>370365</v>
      </c>
      <c r="O634" s="45">
        <f t="shared" ca="1" si="300"/>
        <v>23.760080063126697</v>
      </c>
      <c r="P634" s="45">
        <f t="shared" ca="1" si="301"/>
        <v>23.760080063126697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20.25" customHeight="1">
      <c r="A635" s="573"/>
      <c r="B635" s="574"/>
      <c r="C635" s="575"/>
      <c r="D635" s="575"/>
      <c r="E635" s="575"/>
      <c r="F635" s="576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0)</f>
        <v>0</v>
      </c>
      <c r="O635" s="38"/>
      <c r="P635" s="3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20.25" customHeight="1">
      <c r="A636" s="573"/>
      <c r="B636" s="574"/>
      <c r="C636" s="575"/>
      <c r="D636" s="575"/>
      <c r="E636" s="575"/>
      <c r="F636" s="576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0)</f>
        <v>0</v>
      </c>
      <c r="O636" s="38"/>
      <c r="P636" s="3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20.25" customHeight="1">
      <c r="A637" s="573"/>
      <c r="B637" s="574"/>
      <c r="C637" s="575"/>
      <c r="D637" s="575"/>
      <c r="E637" s="575"/>
      <c r="F637" s="576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130000)</f>
        <v>130000</v>
      </c>
      <c r="O637" s="38"/>
      <c r="P637" s="3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20.25" customHeight="1">
      <c r="A638" s="573"/>
      <c r="B638" s="574"/>
      <c r="C638" s="575"/>
      <c r="D638" s="575"/>
      <c r="E638" s="575"/>
      <c r="F638" s="576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240365)</f>
        <v>240365</v>
      </c>
      <c r="O638" s="38"/>
      <c r="P638" s="3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20.25" customHeight="1">
      <c r="A639" s="596"/>
      <c r="B639" s="574"/>
      <c r="C639" s="575"/>
      <c r="D639" s="605" t="s">
        <v>21</v>
      </c>
      <c r="E639" s="575"/>
      <c r="F639" s="575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20.25" hidden="1" customHeight="1">
      <c r="A640" s="598"/>
      <c r="B640" s="604"/>
      <c r="C640" s="599"/>
      <c r="D640" s="599"/>
      <c r="E640" s="601" t="s">
        <v>18</v>
      </c>
      <c r="F640" s="599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20.25" hidden="1" customHeight="1">
      <c r="A641" s="598"/>
      <c r="B641" s="604"/>
      <c r="C641" s="599"/>
      <c r="D641" s="599"/>
      <c r="E641" s="601" t="s">
        <v>19</v>
      </c>
      <c r="F641" s="599"/>
      <c r="G641" s="602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20.25" customHeight="1">
      <c r="A642" s="607"/>
      <c r="B642" s="608"/>
      <c r="C642" s="575" t="s">
        <v>16</v>
      </c>
      <c r="D642" s="677" t="s">
        <v>38</v>
      </c>
      <c r="E642" s="611"/>
      <c r="F642" s="611"/>
      <c r="G642" s="612"/>
      <c r="H642" s="175"/>
      <c r="I642" s="162"/>
      <c r="J642" s="162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20.25" customHeight="1">
      <c r="A643" s="742"/>
      <c r="B643" s="574"/>
      <c r="C643" s="575"/>
      <c r="D643" s="618"/>
      <c r="E643" s="743" t="s">
        <v>272</v>
      </c>
      <c r="F643" s="618"/>
      <c r="G643" s="175"/>
      <c r="H643" s="449" t="s">
        <v>273</v>
      </c>
      <c r="I643" s="270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5)</f>
        <v>5</v>
      </c>
      <c r="J643" s="183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2)</f>
        <v>2</v>
      </c>
      <c r="K643" s="163">
        <f t="shared" ref="K643:K652" ca="1" si="308">IF(I643&gt;0,J643*100/I643,0)</f>
        <v>40</v>
      </c>
      <c r="L643" s="163"/>
      <c r="M643" s="163"/>
      <c r="N643" s="3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20.25" customHeight="1">
      <c r="A644" s="742"/>
      <c r="B644" s="574"/>
      <c r="C644" s="575"/>
      <c r="D644" s="618"/>
      <c r="E644" s="743" t="s">
        <v>274</v>
      </c>
      <c r="F644" s="618"/>
      <c r="G644" s="175"/>
      <c r="H644" s="449" t="s">
        <v>275</v>
      </c>
      <c r="I644" s="270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5)</f>
        <v>5</v>
      </c>
      <c r="J644" s="183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0)</f>
        <v>0</v>
      </c>
      <c r="K644" s="163">
        <f t="shared" ca="1" si="308"/>
        <v>0</v>
      </c>
      <c r="L644" s="163"/>
      <c r="M644" s="163"/>
      <c r="N644" s="3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20.25" customHeight="1">
      <c r="A645" s="742"/>
      <c r="B645" s="574"/>
      <c r="C645" s="575"/>
      <c r="D645" s="618"/>
      <c r="E645" s="744" t="s">
        <v>276</v>
      </c>
      <c r="F645" s="618"/>
      <c r="G645" s="175"/>
      <c r="H645" s="182" t="s">
        <v>34</v>
      </c>
      <c r="I645" s="270">
        <v>0</v>
      </c>
      <c r="J645" s="37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26)</f>
        <v>26</v>
      </c>
      <c r="K645" s="163">
        <f t="shared" si="308"/>
        <v>0</v>
      </c>
      <c r="L645" s="163"/>
      <c r="M645" s="163"/>
      <c r="N645" s="3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20.25" customHeight="1">
      <c r="A646" s="742"/>
      <c r="B646" s="574"/>
      <c r="C646" s="575"/>
      <c r="D646" s="618"/>
      <c r="E646" s="618"/>
      <c r="F646" s="618"/>
      <c r="G646" s="175"/>
      <c r="H646" s="182" t="s">
        <v>46</v>
      </c>
      <c r="I646" s="270">
        <v>0</v>
      </c>
      <c r="J646" s="37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7.87)</f>
        <v>7.87</v>
      </c>
      <c r="K646" s="38">
        <f t="shared" si="308"/>
        <v>0</v>
      </c>
      <c r="L646" s="163"/>
      <c r="M646" s="163"/>
      <c r="N646" s="3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20.25" customHeight="1">
      <c r="A647" s="742"/>
      <c r="B647" s="574"/>
      <c r="C647" s="575"/>
      <c r="D647" s="618"/>
      <c r="E647" s="263" t="s">
        <v>162</v>
      </c>
      <c r="F647" s="618"/>
      <c r="G647" s="175"/>
      <c r="H647" s="182" t="s">
        <v>35</v>
      </c>
      <c r="I647" s="37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324)</f>
        <v>324</v>
      </c>
      <c r="J647" s="37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82)</f>
        <v>82</v>
      </c>
      <c r="K647" s="163">
        <f t="shared" ca="1" si="308"/>
        <v>25.308641975308642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20.25" customHeight="1">
      <c r="A648" s="742"/>
      <c r="B648" s="574"/>
      <c r="C648" s="575"/>
      <c r="D648" s="618"/>
      <c r="E648" s="618"/>
      <c r="F648" s="618"/>
      <c r="G648" s="175"/>
      <c r="H648" s="182" t="s">
        <v>46</v>
      </c>
      <c r="I648" s="270">
        <v>0</v>
      </c>
      <c r="J648" s="37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20.63)</f>
        <v>20.63</v>
      </c>
      <c r="K648" s="38">
        <f t="shared" si="308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20.25" customHeight="1">
      <c r="A649" s="742"/>
      <c r="B649" s="574"/>
      <c r="C649" s="575"/>
      <c r="D649" s="618"/>
      <c r="E649" s="263" t="s">
        <v>277</v>
      </c>
      <c r="F649" s="618"/>
      <c r="G649" s="175"/>
      <c r="H649" s="182" t="s">
        <v>35</v>
      </c>
      <c r="I649" s="37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324)</f>
        <v>324</v>
      </c>
      <c r="J649" s="37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83)</f>
        <v>83</v>
      </c>
      <c r="K649" s="163">
        <f t="shared" ca="1" si="308"/>
        <v>25.617283950617285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20.25" customHeight="1">
      <c r="A650" s="742"/>
      <c r="B650" s="574"/>
      <c r="C650" s="575"/>
      <c r="D650" s="618"/>
      <c r="E650" s="618"/>
      <c r="F650" s="618"/>
      <c r="G650" s="175"/>
      <c r="H650" s="182" t="s">
        <v>46</v>
      </c>
      <c r="I650" s="270">
        <v>0</v>
      </c>
      <c r="J650" s="37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22.67)</f>
        <v>22.67</v>
      </c>
      <c r="K650" s="38">
        <f t="shared" si="308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20.25" customHeight="1">
      <c r="A651" s="742"/>
      <c r="B651" s="574"/>
      <c r="C651" s="575"/>
      <c r="D651" s="618"/>
      <c r="E651" s="263" t="s">
        <v>278</v>
      </c>
      <c r="F651" s="618"/>
      <c r="G651" s="175"/>
      <c r="H651" s="182" t="s">
        <v>35</v>
      </c>
      <c r="I651" s="37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324)</f>
        <v>324</v>
      </c>
      <c r="J651" s="37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80)</f>
        <v>80</v>
      </c>
      <c r="K651" s="163">
        <f t="shared" ca="1" si="308"/>
        <v>24.691358024691358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20.25" customHeight="1">
      <c r="A652" s="745"/>
      <c r="B652" s="746"/>
      <c r="C652" s="747"/>
      <c r="D652" s="732"/>
      <c r="E652" s="732"/>
      <c r="F652" s="732"/>
      <c r="G652" s="733"/>
      <c r="H652" s="504" t="s">
        <v>46</v>
      </c>
      <c r="I652" s="383">
        <v>0</v>
      </c>
      <c r="J652" s="505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20.125)</f>
        <v>20.125</v>
      </c>
      <c r="K652" s="506">
        <f t="shared" si="308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20.25" customHeight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20.25" customHeight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674">
        <f t="shared" ref="I654:J654" ca="1" si="309">I669</f>
        <v>250</v>
      </c>
      <c r="J654" s="674">
        <f t="shared" ca="1" si="309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20.25" customHeight="1">
      <c r="A655" s="596"/>
      <c r="B655" s="575"/>
      <c r="C655" s="575" t="s">
        <v>16</v>
      </c>
      <c r="D655" s="847" t="s">
        <v>17</v>
      </c>
      <c r="E655" s="841"/>
      <c r="F655" s="841"/>
      <c r="G655" s="189"/>
      <c r="H655" s="597" t="s">
        <v>12</v>
      </c>
      <c r="I655" s="37"/>
      <c r="J655" s="37"/>
      <c r="K655" s="38"/>
      <c r="L655" s="195">
        <f t="shared" ref="L655:N655" ca="1" si="310">L656+L657</f>
        <v>55000</v>
      </c>
      <c r="M655" s="195">
        <f t="shared" ca="1" si="310"/>
        <v>55000</v>
      </c>
      <c r="N655" s="195">
        <f t="shared" ca="1" si="310"/>
        <v>34976.400000000001</v>
      </c>
      <c r="O655" s="195">
        <f t="shared" ref="O655:O660" ca="1" si="311">IF(L655&gt;0,N655*100/L655,0)</f>
        <v>63.593454545454549</v>
      </c>
      <c r="P655" s="195">
        <f t="shared" ref="P655:P660" ca="1" si="312">IF(M655&gt;0,N655*100/M655,0)</f>
        <v>63.593454545454549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20.25" hidden="1" customHeight="1">
      <c r="A656" s="598"/>
      <c r="B656" s="599"/>
      <c r="C656" s="599"/>
      <c r="D656" s="600"/>
      <c r="E656" s="601" t="s">
        <v>185</v>
      </c>
      <c r="F656" s="599"/>
      <c r="G656" s="602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20.25" hidden="1" customHeight="1">
      <c r="A657" s="598"/>
      <c r="B657" s="604"/>
      <c r="C657" s="599"/>
      <c r="D657" s="600"/>
      <c r="E657" s="601" t="s">
        <v>186</v>
      </c>
      <c r="F657" s="599"/>
      <c r="G657" s="602"/>
      <c r="H657" s="165" t="s">
        <v>12</v>
      </c>
      <c r="I657" s="44"/>
      <c r="J657" s="44"/>
      <c r="K657" s="45"/>
      <c r="L657" s="45">
        <f t="shared" ref="L657:N657" ca="1" si="314">L660+L667</f>
        <v>55000</v>
      </c>
      <c r="M657" s="45">
        <f t="shared" ca="1" si="314"/>
        <v>55000</v>
      </c>
      <c r="N657" s="45">
        <f t="shared" ca="1" si="314"/>
        <v>34976.400000000001</v>
      </c>
      <c r="O657" s="45">
        <f t="shared" ca="1" si="311"/>
        <v>63.593454545454549</v>
      </c>
      <c r="P657" s="45">
        <f t="shared" ca="1" si="312"/>
        <v>63.593454545454549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20.25" customHeight="1">
      <c r="A658" s="596"/>
      <c r="B658" s="574"/>
      <c r="C658" s="575"/>
      <c r="D658" s="605" t="s">
        <v>20</v>
      </c>
      <c r="E658" s="575"/>
      <c r="F658" s="575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55000</v>
      </c>
      <c r="M658" s="38">
        <f t="shared" ca="1" si="315"/>
        <v>55000</v>
      </c>
      <c r="N658" s="38">
        <f t="shared" ca="1" si="315"/>
        <v>34976.400000000001</v>
      </c>
      <c r="O658" s="38">
        <f t="shared" ca="1" si="311"/>
        <v>63.593454545454549</v>
      </c>
      <c r="P658" s="38">
        <f t="shared" ca="1" si="312"/>
        <v>63.593454545454549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20.25" hidden="1" customHeight="1">
      <c r="A659" s="598"/>
      <c r="B659" s="604"/>
      <c r="C659" s="599"/>
      <c r="D659" s="600"/>
      <c r="E659" s="601" t="s">
        <v>185</v>
      </c>
      <c r="F659" s="599"/>
      <c r="G659" s="602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20.25" hidden="1" customHeight="1">
      <c r="A660" s="598"/>
      <c r="B660" s="604"/>
      <c r="C660" s="599"/>
      <c r="D660" s="600"/>
      <c r="E660" s="601" t="s">
        <v>186</v>
      </c>
      <c r="F660" s="599"/>
      <c r="G660" s="602"/>
      <c r="H660" s="165" t="s">
        <v>12</v>
      </c>
      <c r="I660" s="44"/>
      <c r="J660" s="44"/>
      <c r="K660" s="45"/>
      <c r="L660" s="45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93">
        <f ca="1">IFERROR(__xludf.DUMMYFUNCTION("IMPORTRANGE(""https://docs.google.com/spreadsheets/d/1kC41EOXpGBFOW658Fs3oD8beYlym0-zO54WY-2Qnp9I/edit?usp=share_link"",""กระบี่!M660"")
+IMPORTRANGE(""https://docs.google.com/spreadsheets/d/1FbzMZY_f3MDiEuK7RpCQKrilJ_kpX0Wm7QBZ1L7EjIU/edit?usp=share_link"&amp;""",""ชุมพร!M660"")+IMPORTRANGE(""https://docs.google.com/spreadsheets/d/1v5sN-00LrXuhBxw4dkh2GrG_z4l5oAqOdJRBCsUyMaM/edit?usp=share_link"",""ตรัง!M660"")+IMPORTRANGE(""https://docs.google.com/spreadsheets/d/1T5rRTzFc79aSIvqnzkZNvwPstq829QYz_xALlO1Z0s8/edi"&amp;"t?usp=share_link"",""นครศรีธรรมราช!M660"")+IMPORTRANGE(""https://docs.google.com/spreadsheets/d/1BeghqumK0IvCmRd2QOy6_afsZq7ZtAGrSnVJy2u7WmY/edit?usp=share_link"",""นราธิวาส!M660"")+IMPORTRANGE(""https://docs.google.com/spreadsheets/d/1IwnW3-jjRf74MCLW-6P"&amp;"iFwMUffRQXZwZA7YM609NmRc/edit?usp=share_link"",""ปัตตานี!M660"")+IMPORTRANGE(""https://docs.google.com/spreadsheets/d/1vl4QWbWdFruual5o_wdo6ZSqXZ_it806oja4CctTLKs/edit?usp=share_link"",""พังงา!M660"")+IMPORTRANGE(""https://docs.google.com/spreadsheets/d/1"&amp;"b6QssHQp2FoAPSMKHOy273KNzAomaIKhtdlvuZ_zDNE/edit?usp=share_link"",""พัทลุง!M660"")+IMPORTRANGE(""https://docs.google.com/spreadsheets/d/1o7UZe4_OqlqtLDHrj01Z2YFRSZDf1DMy1n3XViHaxRc/edit?usp=share_link"",""ภูเก็ต!M660"")+IMPORTRANGE(""https://docs.google.c"&amp;"om/spreadsheets/d/1ctPm1vUzcUCPuOj9-eoHUD85PqINFqUB0TjdSWmR5-c/edit?usp=share_link"",""ยะลา!M660"")+IMPORTRANGE(""https://docs.google.com/spreadsheets/d/1YiDIE7Klmt8osgdapRqYWNr7iPGFSsiJqq46S7PYRE0/edit?usp=share_link"",""ระนอง!M660"")+IMPORTRANGE(""https"&amp;"://docs.google.com/spreadsheets/d/16o_4B-V7AWw_6E93bSpXj_XxVv1oVQctk-B6z1dNEWU/edit?usp=share_link"",""สงขลา!M660"")+IMPORTRANGE(""https://docs.google.com/spreadsheets/d/16cywr71Fj4fA5OGRHsZh30ZG2gwJhMAQv69oVBzYHv0/edit?usp=share_link"",""สตูล!M660"")+IMP"&amp;"ORTRANGE(""https://docs.google.com/spreadsheets/d/1vO9Sws6kMtrVtyvrAJptINXjK8TFBoX9xLYOVK_C8bQ/edit?usp=share_link"",""สุราษฎร์ธานี!M660"")"),55000)</f>
        <v>55000</v>
      </c>
      <c r="N660" s="45">
        <f ca="1">N661+N662+N663+N664</f>
        <v>34976.400000000001</v>
      </c>
      <c r="O660" s="45">
        <f t="shared" ca="1" si="311"/>
        <v>63.593454545454549</v>
      </c>
      <c r="P660" s="45">
        <f t="shared" ca="1" si="312"/>
        <v>63.593454545454549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20.25" customHeight="1">
      <c r="A661" s="573"/>
      <c r="B661" s="574"/>
      <c r="C661" s="575"/>
      <c r="D661" s="575"/>
      <c r="E661" s="575"/>
      <c r="F661" s="576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8"/>
      <c r="P661" s="3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20.25" customHeight="1">
      <c r="A662" s="573"/>
      <c r="B662" s="574"/>
      <c r="C662" s="575"/>
      <c r="D662" s="575"/>
      <c r="E662" s="575"/>
      <c r="F662" s="576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8"/>
      <c r="P662" s="3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20.25" customHeight="1">
      <c r="A663" s="573"/>
      <c r="B663" s="574"/>
      <c r="C663" s="574"/>
      <c r="D663" s="575"/>
      <c r="E663" s="575"/>
      <c r="F663" s="576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8"/>
      <c r="P663" s="3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20.25" customHeight="1">
      <c r="A664" s="573"/>
      <c r="B664" s="574"/>
      <c r="C664" s="574"/>
      <c r="D664" s="574"/>
      <c r="E664" s="575"/>
      <c r="F664" s="576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34976.4)</f>
        <v>34976.400000000001</v>
      </c>
      <c r="O664" s="38"/>
      <c r="P664" s="3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20.25" customHeight="1">
      <c r="A665" s="596"/>
      <c r="B665" s="574"/>
      <c r="C665" s="574"/>
      <c r="D665" s="605" t="s">
        <v>21</v>
      </c>
      <c r="E665" s="575"/>
      <c r="F665" s="575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20.25" hidden="1" customHeight="1">
      <c r="A666" s="598"/>
      <c r="B666" s="604"/>
      <c r="C666" s="604"/>
      <c r="D666" s="604"/>
      <c r="E666" s="601" t="s">
        <v>18</v>
      </c>
      <c r="F666" s="599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20.25" hidden="1" customHeight="1">
      <c r="A667" s="598"/>
      <c r="B667" s="604"/>
      <c r="C667" s="604"/>
      <c r="D667" s="604"/>
      <c r="E667" s="601" t="s">
        <v>19</v>
      </c>
      <c r="F667" s="599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20.25" customHeight="1">
      <c r="A668" s="607"/>
      <c r="B668" s="608"/>
      <c r="C668" s="574" t="s">
        <v>16</v>
      </c>
      <c r="D668" s="609" t="s">
        <v>38</v>
      </c>
      <c r="E668" s="611"/>
      <c r="F668" s="611"/>
      <c r="G668" s="612"/>
      <c r="H668" s="175"/>
      <c r="I668" s="162"/>
      <c r="J668" s="162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20.25" customHeight="1">
      <c r="A669" s="607"/>
      <c r="B669" s="608"/>
      <c r="C669" s="608"/>
      <c r="D669" s="617" t="s">
        <v>281</v>
      </c>
      <c r="E669" s="618"/>
      <c r="F669" s="618"/>
      <c r="G669" s="175"/>
      <c r="H669" s="750" t="s">
        <v>46</v>
      </c>
      <c r="I669" s="194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20.25" customHeight="1">
      <c r="A670" s="607"/>
      <c r="B670" s="608"/>
      <c r="C670" s="608"/>
      <c r="D670" s="608"/>
      <c r="E670" s="187" t="s">
        <v>282</v>
      </c>
      <c r="F670" s="618"/>
      <c r="G670" s="175"/>
      <c r="H670" s="449" t="s">
        <v>66</v>
      </c>
      <c r="I670" s="37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3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25)</f>
        <v>25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20.25" customHeight="1">
      <c r="A671" s="607"/>
      <c r="B671" s="608"/>
      <c r="C671" s="608"/>
      <c r="D671" s="608"/>
      <c r="E671" s="187" t="s">
        <v>283</v>
      </c>
      <c r="F671" s="618"/>
      <c r="G671" s="175"/>
      <c r="H671" s="449" t="s">
        <v>66</v>
      </c>
      <c r="I671" s="37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3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25)</f>
        <v>25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20.25" customHeight="1">
      <c r="A672" s="607"/>
      <c r="B672" s="608"/>
      <c r="C672" s="608"/>
      <c r="D672" s="608"/>
      <c r="E672" s="187" t="s">
        <v>284</v>
      </c>
      <c r="F672" s="618"/>
      <c r="G672" s="175"/>
      <c r="H672" s="182" t="s">
        <v>46</v>
      </c>
      <c r="I672" s="37"/>
      <c r="J672" s="183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259)</f>
        <v>259</v>
      </c>
      <c r="K672" s="38">
        <f t="shared" ref="K672:K675" ca="1" si="319">IF(I$669&gt;0,J672*100/I$669,0)</f>
        <v>103.6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20.25" customHeight="1">
      <c r="A673" s="607"/>
      <c r="B673" s="608"/>
      <c r="C673" s="608"/>
      <c r="D673" s="608"/>
      <c r="E673" s="187" t="s">
        <v>285</v>
      </c>
      <c r="F673" s="618"/>
      <c r="G673" s="175"/>
      <c r="H673" s="182" t="s">
        <v>46</v>
      </c>
      <c r="I673" s="37"/>
      <c r="J673" s="183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57)</f>
        <v>57</v>
      </c>
      <c r="K673" s="38">
        <f t="shared" ca="1" si="319"/>
        <v>22.8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20.25" customHeight="1">
      <c r="A674" s="607"/>
      <c r="B674" s="608"/>
      <c r="C674" s="608"/>
      <c r="D674" s="608"/>
      <c r="E674" s="187" t="s">
        <v>286</v>
      </c>
      <c r="F674" s="618"/>
      <c r="G674" s="175"/>
      <c r="H674" s="182" t="s">
        <v>46</v>
      </c>
      <c r="I674" s="37"/>
      <c r="J674" s="183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20.25" customHeight="1">
      <c r="A675" s="607"/>
      <c r="B675" s="608"/>
      <c r="C675" s="608"/>
      <c r="D675" s="608"/>
      <c r="E675" s="187" t="s">
        <v>287</v>
      </c>
      <c r="F675" s="618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20.25" customHeight="1">
      <c r="A676" s="607"/>
      <c r="B676" s="608"/>
      <c r="C676" s="608"/>
      <c r="D676" s="608"/>
      <c r="E676" s="618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20.25" customHeight="1">
      <c r="A677" s="607"/>
      <c r="B677" s="608"/>
      <c r="C677" s="608"/>
      <c r="D677" s="608"/>
      <c r="E677" s="618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20.25" customHeight="1">
      <c r="A678" s="607"/>
      <c r="B678" s="608"/>
      <c r="C678" s="608"/>
      <c r="D678" s="617" t="s">
        <v>290</v>
      </c>
      <c r="E678" s="618"/>
      <c r="F678" s="618"/>
      <c r="G678" s="175"/>
      <c r="H678" s="182" t="s">
        <v>46</v>
      </c>
      <c r="I678" s="194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4">
        <f ca="1"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20.25" customHeight="1">
      <c r="A679" s="607"/>
      <c r="B679" s="608"/>
      <c r="C679" s="608"/>
      <c r="D679" s="608"/>
      <c r="E679" s="187" t="s">
        <v>291</v>
      </c>
      <c r="F679" s="618"/>
      <c r="G679" s="175"/>
      <c r="H679" s="182" t="s">
        <v>46</v>
      </c>
      <c r="I679" s="37"/>
      <c r="J679" s="37">
        <f ca="1">J680+J681</f>
        <v>168.76</v>
      </c>
      <c r="K679" s="3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20.25" customHeight="1">
      <c r="A680" s="607"/>
      <c r="B680" s="608"/>
      <c r="C680" s="608"/>
      <c r="D680" s="608"/>
      <c r="E680" s="618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31.56)</f>
        <v>31.56</v>
      </c>
      <c r="K680" s="3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20.25" customHeight="1">
      <c r="A681" s="607"/>
      <c r="B681" s="608"/>
      <c r="C681" s="608"/>
      <c r="D681" s="608"/>
      <c r="E681" s="618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137.2)</f>
        <v>137.19999999999999</v>
      </c>
      <c r="K681" s="3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20.25" customHeight="1">
      <c r="A682" s="607"/>
      <c r="B682" s="608"/>
      <c r="C682" s="608"/>
      <c r="D682" s="608"/>
      <c r="E682" s="187" t="s">
        <v>292</v>
      </c>
      <c r="F682" s="618"/>
      <c r="G682" s="175"/>
      <c r="H682" s="182" t="s">
        <v>46</v>
      </c>
      <c r="I682" s="37"/>
      <c r="J682" s="183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20.25" customHeight="1">
      <c r="A683" s="607"/>
      <c r="B683" s="608"/>
      <c r="C683" s="608"/>
      <c r="D683" s="608"/>
      <c r="E683" s="618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20.25" customHeight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20.25" customHeight="1">
      <c r="A685" s="596"/>
      <c r="B685" s="575"/>
      <c r="C685" s="575" t="s">
        <v>16</v>
      </c>
      <c r="D685" s="847" t="s">
        <v>17</v>
      </c>
      <c r="E685" s="841"/>
      <c r="F685" s="841"/>
      <c r="G685" s="189"/>
      <c r="H685" s="597" t="s">
        <v>12</v>
      </c>
      <c r="I685" s="37"/>
      <c r="J685" s="37"/>
      <c r="K685" s="38"/>
      <c r="L685" s="195">
        <f t="shared" ref="L685:N685" ca="1" si="320">L686+L687</f>
        <v>63040</v>
      </c>
      <c r="M685" s="195">
        <f t="shared" ca="1" si="320"/>
        <v>63040</v>
      </c>
      <c r="N685" s="195">
        <f t="shared" ca="1" si="320"/>
        <v>2000</v>
      </c>
      <c r="O685" s="195">
        <f t="shared" ref="O685:O688" ca="1" si="321">IF(L685&gt;0,N685*100/L685,0)</f>
        <v>3.1725888324873095</v>
      </c>
      <c r="P685" s="195">
        <f t="shared" ref="P685:P688" ca="1" si="322">IF(M685&gt;0,N685*100/M685,0)</f>
        <v>3.1725888324873095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20.25" hidden="1" customHeight="1">
      <c r="A686" s="598"/>
      <c r="B686" s="599"/>
      <c r="C686" s="599"/>
      <c r="D686" s="600"/>
      <c r="E686" s="601" t="s">
        <v>185</v>
      </c>
      <c r="F686" s="599"/>
      <c r="G686" s="602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20.25" hidden="1" customHeight="1">
      <c r="A687" s="598"/>
      <c r="B687" s="604"/>
      <c r="C687" s="599"/>
      <c r="D687" s="600"/>
      <c r="E687" s="601" t="s">
        <v>186</v>
      </c>
      <c r="F687" s="599"/>
      <c r="G687" s="602"/>
      <c r="H687" s="165" t="s">
        <v>12</v>
      </c>
      <c r="I687" s="44"/>
      <c r="J687" s="44"/>
      <c r="K687" s="45"/>
      <c r="L687" s="45">
        <f t="shared" ref="L687:N687" ca="1" si="324">L690+L697</f>
        <v>63040</v>
      </c>
      <c r="M687" s="45">
        <f t="shared" ca="1" si="324"/>
        <v>63040</v>
      </c>
      <c r="N687" s="45">
        <f t="shared" ca="1" si="324"/>
        <v>2000</v>
      </c>
      <c r="O687" s="45">
        <f t="shared" ca="1" si="321"/>
        <v>3.1725888324873095</v>
      </c>
      <c r="P687" s="45">
        <f t="shared" ca="1" si="322"/>
        <v>3.1725888324873095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20.25" customHeight="1">
      <c r="A688" s="596"/>
      <c r="B688" s="574"/>
      <c r="C688" s="575"/>
      <c r="D688" s="605" t="s">
        <v>20</v>
      </c>
      <c r="E688" s="575"/>
      <c r="F688" s="575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63040</v>
      </c>
      <c r="M688" s="38">
        <f t="shared" ca="1" si="325"/>
        <v>63040</v>
      </c>
      <c r="N688" s="38">
        <f t="shared" ca="1" si="325"/>
        <v>2000</v>
      </c>
      <c r="O688" s="38">
        <f t="shared" ca="1" si="321"/>
        <v>3.1725888324873095</v>
      </c>
      <c r="P688" s="38">
        <f t="shared" ca="1" si="322"/>
        <v>3.1725888324873095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20.25" hidden="1" customHeight="1">
      <c r="A689" s="598"/>
      <c r="B689" s="604"/>
      <c r="C689" s="599"/>
      <c r="D689" s="600"/>
      <c r="E689" s="601" t="s">
        <v>185</v>
      </c>
      <c r="F689" s="599"/>
      <c r="G689" s="602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20.25" hidden="1" customHeight="1">
      <c r="A690" s="598"/>
      <c r="B690" s="604"/>
      <c r="C690" s="599"/>
      <c r="D690" s="600"/>
      <c r="E690" s="601" t="s">
        <v>186</v>
      </c>
      <c r="F690" s="599"/>
      <c r="G690" s="602"/>
      <c r="H690" s="165" t="s">
        <v>12</v>
      </c>
      <c r="I690" s="44"/>
      <c r="J690" s="44"/>
      <c r="K690" s="45"/>
      <c r="L690" s="45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93">
        <f ca="1">IFERROR(__xludf.DUMMYFUNCTION("IMPORTRANGE(""https://docs.google.com/spreadsheets/d/1kC41EOXpGBFOW658Fs3oD8beYlym0-zO54WY-2Qnp9I/edit?usp=share_link"",""กระบี่!M690"")
+IMPORTRANGE(""https://docs.google.com/spreadsheets/d/1FbzMZY_f3MDiEuK7RpCQKrilJ_kpX0Wm7QBZ1L7EjIU/edit?usp=share_link"&amp;""",""ชุมพร!M690"")+IMPORTRANGE(""https://docs.google.com/spreadsheets/d/1v5sN-00LrXuhBxw4dkh2GrG_z4l5oAqOdJRBCsUyMaM/edit?usp=share_link"",""ตรัง!M690"")+IMPORTRANGE(""https://docs.google.com/spreadsheets/d/1T5rRTzFc79aSIvqnzkZNvwPstq829QYz_xALlO1Z0s8/edi"&amp;"t?usp=share_link"",""นครศรีธรรมราช!M690"")+IMPORTRANGE(""https://docs.google.com/spreadsheets/d/1BeghqumK0IvCmRd2QOy6_afsZq7ZtAGrSnVJy2u7WmY/edit?usp=share_link"",""นราธิวาส!M690"")+IMPORTRANGE(""https://docs.google.com/spreadsheets/d/1IwnW3-jjRf74MCLW-6P"&amp;"iFwMUffRQXZwZA7YM609NmRc/edit?usp=share_link"",""ปัตตานี!M690"")+IMPORTRANGE(""https://docs.google.com/spreadsheets/d/1vl4QWbWdFruual5o_wdo6ZSqXZ_it806oja4CctTLKs/edit?usp=share_link"",""พังงา!M690"")+IMPORTRANGE(""https://docs.google.com/spreadsheets/d/1"&amp;"b6QssHQp2FoAPSMKHOy273KNzAomaIKhtdlvuZ_zDNE/edit?usp=share_link"",""พัทลุง!M690"")+IMPORTRANGE(""https://docs.google.com/spreadsheets/d/1o7UZe4_OqlqtLDHrj01Z2YFRSZDf1DMy1n3XViHaxRc/edit?usp=share_link"",""ภูเก็ต!M690"")+IMPORTRANGE(""https://docs.google.c"&amp;"om/spreadsheets/d/1ctPm1vUzcUCPuOj9-eoHUD85PqINFqUB0TjdSWmR5-c/edit?usp=share_link"",""ยะลา!M690"")+IMPORTRANGE(""https://docs.google.com/spreadsheets/d/1YiDIE7Klmt8osgdapRqYWNr7iPGFSsiJqq46S7PYRE0/edit?usp=share_link"",""ระนอง!M690"")+IMPORTRANGE(""https"&amp;"://docs.google.com/spreadsheets/d/16o_4B-V7AWw_6E93bSpXj_XxVv1oVQctk-B6z1dNEWU/edit?usp=share_link"",""สงขลา!M690"")+IMPORTRANGE(""https://docs.google.com/spreadsheets/d/16cywr71Fj4fA5OGRHsZh30ZG2gwJhMAQv69oVBzYHv0/edit?usp=share_link"",""สตูล!M690"")+IMP"&amp;"ORTRANGE(""https://docs.google.com/spreadsheets/d/1vO9Sws6kMtrVtyvrAJptINXjK8TFBoX9xLYOVK_C8bQ/edit?usp=share_link"",""สุราษฎร์ธานี!M690"")"),63040)</f>
        <v>63040</v>
      </c>
      <c r="N690" s="45">
        <f ca="1">N691+N692+N693+N694</f>
        <v>2000</v>
      </c>
      <c r="O690" s="45">
        <f ca="1">IF(L690&gt;0,N690*100/L690,0)</f>
        <v>3.1725888324873095</v>
      </c>
      <c r="P690" s="45">
        <f ca="1">IF(M690&gt;0,N690*100/M690,0)</f>
        <v>3.1725888324873095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20.25" customHeight="1">
      <c r="A691" s="573"/>
      <c r="B691" s="574"/>
      <c r="C691" s="575"/>
      <c r="D691" s="575"/>
      <c r="E691" s="575"/>
      <c r="F691" s="576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8"/>
      <c r="P691" s="3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20.25" customHeight="1">
      <c r="A692" s="573"/>
      <c r="B692" s="574"/>
      <c r="C692" s="575"/>
      <c r="D692" s="575"/>
      <c r="E692" s="575"/>
      <c r="F692" s="576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8"/>
      <c r="P692" s="3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20.25" customHeight="1">
      <c r="A693" s="573"/>
      <c r="B693" s="574"/>
      <c r="C693" s="575"/>
      <c r="D693" s="575"/>
      <c r="E693" s="575"/>
      <c r="F693" s="576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8"/>
      <c r="P693" s="3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20.25" customHeight="1">
      <c r="A694" s="573"/>
      <c r="B694" s="574"/>
      <c r="C694" s="575"/>
      <c r="D694" s="575"/>
      <c r="E694" s="575"/>
      <c r="F694" s="576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2000)</f>
        <v>2000</v>
      </c>
      <c r="O694" s="38"/>
      <c r="P694" s="3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20.25" customHeight="1">
      <c r="A695" s="596"/>
      <c r="B695" s="574"/>
      <c r="C695" s="575"/>
      <c r="D695" s="756" t="s">
        <v>21</v>
      </c>
      <c r="E695" s="575"/>
      <c r="F695" s="575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20.25" hidden="1" customHeight="1">
      <c r="A696" s="598"/>
      <c r="B696" s="604"/>
      <c r="C696" s="599"/>
      <c r="D696" s="599"/>
      <c r="E696" s="757" t="s">
        <v>18</v>
      </c>
      <c r="F696" s="599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20.25" hidden="1" customHeight="1">
      <c r="A697" s="598"/>
      <c r="B697" s="604"/>
      <c r="C697" s="599"/>
      <c r="D697" s="599"/>
      <c r="E697" s="757" t="s">
        <v>19</v>
      </c>
      <c r="F697" s="599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20.25" customHeight="1">
      <c r="A698" s="607"/>
      <c r="B698" s="608"/>
      <c r="C698" s="575" t="s">
        <v>16</v>
      </c>
      <c r="D698" s="758" t="s">
        <v>38</v>
      </c>
      <c r="E698" s="759"/>
      <c r="F698" s="611"/>
      <c r="G698" s="612"/>
      <c r="H698" s="760"/>
      <c r="I698" s="162"/>
      <c r="J698" s="162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20.25" customHeight="1">
      <c r="A699" s="742"/>
      <c r="B699" s="575"/>
      <c r="C699" s="575"/>
      <c r="D699" s="576" t="s">
        <v>295</v>
      </c>
      <c r="E699" s="761"/>
      <c r="F699" s="575"/>
      <c r="G699" s="189"/>
      <c r="H699" s="762" t="s">
        <v>46</v>
      </c>
      <c r="I699" s="763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7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0)</f>
        <v>0</v>
      </c>
      <c r="K699" s="38">
        <f t="shared" ref="K699:K701" ca="1" si="329">IF(I699&gt;0,J699*100/I699,0)</f>
        <v>0</v>
      </c>
      <c r="L699" s="38"/>
      <c r="M699" s="189"/>
      <c r="N699" s="764"/>
      <c r="O699" s="38"/>
      <c r="P699" s="3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20.25" customHeight="1">
      <c r="A700" s="742"/>
      <c r="B700" s="575"/>
      <c r="C700" s="575"/>
      <c r="D700" s="576" t="s">
        <v>296</v>
      </c>
      <c r="E700" s="575"/>
      <c r="F700" s="575"/>
      <c r="G700" s="189"/>
      <c r="H700" s="762" t="s">
        <v>35</v>
      </c>
      <c r="I700" s="763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7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0)</f>
        <v>0</v>
      </c>
      <c r="K700" s="38">
        <f t="shared" ca="1" si="329"/>
        <v>0</v>
      </c>
      <c r="L700" s="38"/>
      <c r="M700" s="189"/>
      <c r="N700" s="764"/>
      <c r="O700" s="38"/>
      <c r="P700" s="3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20.25" customHeight="1">
      <c r="A701" s="742"/>
      <c r="B701" s="575"/>
      <c r="C701" s="575"/>
      <c r="D701" s="576" t="s">
        <v>297</v>
      </c>
      <c r="E701" s="575"/>
      <c r="F701" s="575"/>
      <c r="G701" s="189"/>
      <c r="H701" s="765" t="s">
        <v>46</v>
      </c>
      <c r="I701" s="766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4">
        <f ca="1">J704+J707</f>
        <v>0</v>
      </c>
      <c r="K701" s="195">
        <f t="shared" ca="1" si="329"/>
        <v>0</v>
      </c>
      <c r="L701" s="38"/>
      <c r="M701" s="189"/>
      <c r="N701" s="764"/>
      <c r="O701" s="38"/>
      <c r="P701" s="3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20.25" customHeight="1">
      <c r="A702" s="742"/>
      <c r="B702" s="575"/>
      <c r="C702" s="575"/>
      <c r="D702" s="575"/>
      <c r="E702" s="576" t="s">
        <v>298</v>
      </c>
      <c r="F702" s="575"/>
      <c r="G702" s="189"/>
      <c r="H702" s="182" t="s">
        <v>35</v>
      </c>
      <c r="I702" s="763"/>
      <c r="J702" s="183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8"/>
      <c r="L702" s="38"/>
      <c r="M702" s="189"/>
      <c r="N702" s="764"/>
      <c r="O702" s="38"/>
      <c r="P702" s="3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20.25" customHeight="1">
      <c r="A703" s="742"/>
      <c r="B703" s="575"/>
      <c r="C703" s="575"/>
      <c r="D703" s="575"/>
      <c r="E703" s="575"/>
      <c r="F703" s="575"/>
      <c r="G703" s="189"/>
      <c r="H703" s="182" t="s">
        <v>34</v>
      </c>
      <c r="I703" s="763"/>
      <c r="J703" s="183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8"/>
      <c r="L703" s="38"/>
      <c r="M703" s="189"/>
      <c r="N703" s="764"/>
      <c r="O703" s="38"/>
      <c r="P703" s="3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20.25" customHeight="1">
      <c r="A704" s="742"/>
      <c r="B704" s="575"/>
      <c r="C704" s="575"/>
      <c r="D704" s="575"/>
      <c r="E704" s="575"/>
      <c r="F704" s="575"/>
      <c r="G704" s="189"/>
      <c r="H704" s="182" t="s">
        <v>46</v>
      </c>
      <c r="I704" s="763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3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8"/>
      <c r="L704" s="38"/>
      <c r="M704" s="189"/>
      <c r="N704" s="764"/>
      <c r="O704" s="38"/>
      <c r="P704" s="3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20.25" customHeight="1">
      <c r="A705" s="742"/>
      <c r="B705" s="575"/>
      <c r="C705" s="575"/>
      <c r="D705" s="575"/>
      <c r="E705" s="576" t="s">
        <v>299</v>
      </c>
      <c r="F705" s="575"/>
      <c r="G705" s="189"/>
      <c r="H705" s="182" t="s">
        <v>35</v>
      </c>
      <c r="I705" s="763"/>
      <c r="J705" s="183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8"/>
      <c r="L705" s="38"/>
      <c r="M705" s="189"/>
      <c r="N705" s="764"/>
      <c r="O705" s="38"/>
      <c r="P705" s="3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20.25" customHeight="1">
      <c r="A706" s="742"/>
      <c r="B706" s="575"/>
      <c r="C706" s="575"/>
      <c r="D706" s="575"/>
      <c r="E706" s="575"/>
      <c r="F706" s="575"/>
      <c r="G706" s="189"/>
      <c r="H706" s="182" t="s">
        <v>34</v>
      </c>
      <c r="I706" s="763"/>
      <c r="J706" s="183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8"/>
      <c r="L706" s="38"/>
      <c r="M706" s="189"/>
      <c r="N706" s="764"/>
      <c r="O706" s="38"/>
      <c r="P706" s="3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20.25" customHeight="1">
      <c r="A707" s="742"/>
      <c r="B707" s="575"/>
      <c r="C707" s="575"/>
      <c r="D707" s="575"/>
      <c r="E707" s="575"/>
      <c r="F707" s="575"/>
      <c r="G707" s="189"/>
      <c r="H707" s="182" t="s">
        <v>46</v>
      </c>
      <c r="I707" s="763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3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8"/>
      <c r="L707" s="38"/>
      <c r="M707" s="189"/>
      <c r="N707" s="764"/>
      <c r="O707" s="38"/>
      <c r="P707" s="3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20.25" customHeight="1">
      <c r="A708" s="742"/>
      <c r="B708" s="575"/>
      <c r="C708" s="575"/>
      <c r="D708" s="767" t="s">
        <v>300</v>
      </c>
      <c r="E708" s="575"/>
      <c r="F708" s="575"/>
      <c r="G708" s="189"/>
      <c r="H708" s="192" t="s">
        <v>46</v>
      </c>
      <c r="I708" s="766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64"/>
      <c r="O708" s="38"/>
      <c r="P708" s="3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20.25" customHeight="1">
      <c r="A709" s="742"/>
      <c r="B709" s="575"/>
      <c r="C709" s="575"/>
      <c r="D709" s="575"/>
      <c r="E709" s="576" t="s">
        <v>301</v>
      </c>
      <c r="F709" s="575"/>
      <c r="G709" s="189"/>
      <c r="H709" s="182" t="s">
        <v>34</v>
      </c>
      <c r="I709" s="763"/>
      <c r="J709" s="183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8"/>
      <c r="L709" s="764"/>
      <c r="M709" s="189"/>
      <c r="N709" s="764"/>
      <c r="O709" s="38"/>
      <c r="P709" s="3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20.25" customHeight="1">
      <c r="A710" s="742"/>
      <c r="B710" s="575"/>
      <c r="C710" s="575"/>
      <c r="D710" s="575"/>
      <c r="E710" s="575"/>
      <c r="F710" s="575"/>
      <c r="G710" s="189"/>
      <c r="H710" s="182" t="s">
        <v>46</v>
      </c>
      <c r="I710" s="763"/>
      <c r="J710" s="183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8"/>
      <c r="L710" s="764"/>
      <c r="M710" s="189"/>
      <c r="N710" s="764"/>
      <c r="O710" s="38"/>
      <c r="P710" s="3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20.25" customHeight="1">
      <c r="A711" s="742"/>
      <c r="B711" s="575"/>
      <c r="C711" s="575"/>
      <c r="D711" s="575"/>
      <c r="E711" s="576" t="s">
        <v>302</v>
      </c>
      <c r="F711" s="575"/>
      <c r="G711" s="189"/>
      <c r="H711" s="175"/>
      <c r="I711" s="763"/>
      <c r="J711" s="37"/>
      <c r="K711" s="38"/>
      <c r="L711" s="764"/>
      <c r="M711" s="189"/>
      <c r="N711" s="764"/>
      <c r="O711" s="38"/>
      <c r="P711" s="3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20.25" customHeight="1">
      <c r="A712" s="742"/>
      <c r="B712" s="575"/>
      <c r="C712" s="575"/>
      <c r="D712" s="575"/>
      <c r="E712" s="575"/>
      <c r="F712" s="576" t="s">
        <v>303</v>
      </c>
      <c r="G712" s="189"/>
      <c r="H712" s="182" t="s">
        <v>35</v>
      </c>
      <c r="I712" s="763"/>
      <c r="J712" s="183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8"/>
      <c r="L712" s="764"/>
      <c r="M712" s="189"/>
      <c r="N712" s="764"/>
      <c r="O712" s="38"/>
      <c r="P712" s="3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20.25" customHeight="1">
      <c r="A713" s="742"/>
      <c r="B713" s="575"/>
      <c r="C713" s="575"/>
      <c r="D713" s="575"/>
      <c r="E713" s="575"/>
      <c r="F713" s="575"/>
      <c r="G713" s="189"/>
      <c r="H713" s="182" t="s">
        <v>34</v>
      </c>
      <c r="I713" s="763"/>
      <c r="J713" s="183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8"/>
      <c r="L713" s="764"/>
      <c r="M713" s="189"/>
      <c r="N713" s="764"/>
      <c r="O713" s="38"/>
      <c r="P713" s="3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20.25" customHeight="1">
      <c r="A714" s="742"/>
      <c r="B714" s="575"/>
      <c r="C714" s="575"/>
      <c r="D714" s="575"/>
      <c r="E714" s="575"/>
      <c r="F714" s="575"/>
      <c r="G714" s="189"/>
      <c r="H714" s="182" t="s">
        <v>46</v>
      </c>
      <c r="I714" s="763"/>
      <c r="J714" s="183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8"/>
      <c r="L714" s="764"/>
      <c r="M714" s="189"/>
      <c r="N714" s="764"/>
      <c r="O714" s="38"/>
      <c r="P714" s="3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20.25" customHeight="1">
      <c r="A715" s="742"/>
      <c r="B715" s="575"/>
      <c r="C715" s="575"/>
      <c r="D715" s="575"/>
      <c r="E715" s="575"/>
      <c r="F715" s="576" t="s">
        <v>304</v>
      </c>
      <c r="G715" s="189"/>
      <c r="H715" s="182" t="s">
        <v>35</v>
      </c>
      <c r="I715" s="763"/>
      <c r="J715" s="183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8"/>
      <c r="L715" s="764"/>
      <c r="M715" s="189"/>
      <c r="N715" s="764"/>
      <c r="O715" s="38"/>
      <c r="P715" s="3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20.25" customHeight="1">
      <c r="A716" s="742"/>
      <c r="B716" s="575"/>
      <c r="C716" s="575"/>
      <c r="D716" s="575"/>
      <c r="E716" s="575"/>
      <c r="F716" s="575"/>
      <c r="G716" s="189"/>
      <c r="H716" s="182" t="s">
        <v>34</v>
      </c>
      <c r="I716" s="763"/>
      <c r="J716" s="183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8"/>
      <c r="L716" s="764"/>
      <c r="M716" s="189"/>
      <c r="N716" s="764"/>
      <c r="O716" s="38"/>
      <c r="P716" s="3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20.25" customHeight="1">
      <c r="A717" s="742"/>
      <c r="B717" s="575"/>
      <c r="C717" s="575"/>
      <c r="D717" s="575"/>
      <c r="E717" s="575"/>
      <c r="F717" s="575"/>
      <c r="G717" s="189"/>
      <c r="H717" s="182" t="s">
        <v>46</v>
      </c>
      <c r="I717" s="763"/>
      <c r="J717" s="183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8"/>
      <c r="L717" s="764"/>
      <c r="M717" s="189"/>
      <c r="N717" s="764"/>
      <c r="O717" s="38"/>
      <c r="P717" s="3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20.25" customHeight="1">
      <c r="A718" s="742"/>
      <c r="B718" s="575"/>
      <c r="C718" s="575"/>
      <c r="D718" s="576" t="s">
        <v>305</v>
      </c>
      <c r="E718" s="575"/>
      <c r="F718" s="575"/>
      <c r="G718" s="189"/>
      <c r="H718" s="182" t="s">
        <v>35</v>
      </c>
      <c r="I718" s="763"/>
      <c r="J718" s="37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8"/>
      <c r="L718" s="38"/>
      <c r="M718" s="189"/>
      <c r="N718" s="764"/>
      <c r="O718" s="38"/>
      <c r="P718" s="3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20.25" customHeight="1">
      <c r="A719" s="742"/>
      <c r="B719" s="575"/>
      <c r="C719" s="575"/>
      <c r="D719" s="575"/>
      <c r="E719" s="575"/>
      <c r="F719" s="575"/>
      <c r="G719" s="189"/>
      <c r="H719" s="182" t="s">
        <v>34</v>
      </c>
      <c r="I719" s="763"/>
      <c r="J719" s="37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8"/>
      <c r="L719" s="764"/>
      <c r="M719" s="189"/>
      <c r="N719" s="764"/>
      <c r="O719" s="38"/>
      <c r="P719" s="3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20.25" customHeight="1">
      <c r="A720" s="742"/>
      <c r="B720" s="575"/>
      <c r="C720" s="575"/>
      <c r="D720" s="575"/>
      <c r="E720" s="575"/>
      <c r="F720" s="575"/>
      <c r="G720" s="189"/>
      <c r="H720" s="182" t="s">
        <v>46</v>
      </c>
      <c r="I720" s="763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7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8">
        <f t="shared" ref="K720:K723" ca="1" si="330">IF(I720&gt;0,J720*100/I720,0)</f>
        <v>0</v>
      </c>
      <c r="L720" s="764"/>
      <c r="M720" s="189"/>
      <c r="N720" s="764"/>
      <c r="O720" s="38"/>
      <c r="P720" s="3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20.25" customHeight="1">
      <c r="A721" s="742"/>
      <c r="B721" s="575"/>
      <c r="C721" s="575"/>
      <c r="D721" s="576" t="s">
        <v>306</v>
      </c>
      <c r="E721" s="575"/>
      <c r="F721" s="575"/>
      <c r="G721" s="189"/>
      <c r="H721" s="750" t="s">
        <v>35</v>
      </c>
      <c r="I721" s="766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4">
        <f ca="1">J723+J726</f>
        <v>0</v>
      </c>
      <c r="K721" s="195">
        <f t="shared" ca="1" si="330"/>
        <v>0</v>
      </c>
      <c r="L721" s="764"/>
      <c r="M721" s="189"/>
      <c r="N721" s="764"/>
      <c r="O721" s="38"/>
      <c r="P721" s="3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20.25" customHeight="1">
      <c r="A722" s="742"/>
      <c r="B722" s="575"/>
      <c r="C722" s="575"/>
      <c r="D722" s="575"/>
      <c r="E722" s="576"/>
      <c r="F722" s="575"/>
      <c r="G722" s="189"/>
      <c r="H722" s="750" t="s">
        <v>46</v>
      </c>
      <c r="I722" s="766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4">
        <f ca="1">J725+J728</f>
        <v>0</v>
      </c>
      <c r="K722" s="195">
        <f t="shared" ca="1" si="330"/>
        <v>0</v>
      </c>
      <c r="L722" s="38"/>
      <c r="M722" s="189"/>
      <c r="N722" s="764"/>
      <c r="O722" s="38"/>
      <c r="P722" s="3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20.25" customHeight="1">
      <c r="A723" s="742"/>
      <c r="B723" s="575"/>
      <c r="C723" s="575"/>
      <c r="D723" s="575"/>
      <c r="E723" s="576" t="s">
        <v>307</v>
      </c>
      <c r="F723" s="575"/>
      <c r="G723" s="189"/>
      <c r="H723" s="182" t="s">
        <v>35</v>
      </c>
      <c r="I723" s="763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7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0)</f>
        <v>0</v>
      </c>
      <c r="K723" s="38">
        <f t="shared" ca="1" si="330"/>
        <v>0</v>
      </c>
      <c r="L723" s="38"/>
      <c r="M723" s="189"/>
      <c r="N723" s="764"/>
      <c r="O723" s="38"/>
      <c r="P723" s="3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20.25" customHeight="1">
      <c r="A724" s="742"/>
      <c r="B724" s="575"/>
      <c r="C724" s="575"/>
      <c r="D724" s="575"/>
      <c r="E724" s="575"/>
      <c r="F724" s="575"/>
      <c r="G724" s="189"/>
      <c r="H724" s="182" t="s">
        <v>34</v>
      </c>
      <c r="I724" s="763"/>
      <c r="J724" s="37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0)</f>
        <v>0</v>
      </c>
      <c r="K724" s="38"/>
      <c r="L724" s="764"/>
      <c r="M724" s="189"/>
      <c r="N724" s="764"/>
      <c r="O724" s="38"/>
      <c r="P724" s="3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20.25" customHeight="1">
      <c r="A725" s="742"/>
      <c r="B725" s="575"/>
      <c r="C725" s="575"/>
      <c r="D725" s="575"/>
      <c r="E725" s="575"/>
      <c r="F725" s="575"/>
      <c r="G725" s="189"/>
      <c r="H725" s="182" t="s">
        <v>46</v>
      </c>
      <c r="I725" s="763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7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0)</f>
        <v>0</v>
      </c>
      <c r="K725" s="38">
        <f t="shared" ref="K725:K726" ca="1" si="331">IF(I725&gt;0,J725*100/I725,0)</f>
        <v>0</v>
      </c>
      <c r="L725" s="764"/>
      <c r="M725" s="189"/>
      <c r="N725" s="764"/>
      <c r="O725" s="38"/>
      <c r="P725" s="3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20.25" customHeight="1">
      <c r="A726" s="742"/>
      <c r="B726" s="575"/>
      <c r="C726" s="575"/>
      <c r="D726" s="575"/>
      <c r="E726" s="576" t="s">
        <v>308</v>
      </c>
      <c r="F726" s="575"/>
      <c r="G726" s="189"/>
      <c r="H726" s="182" t="s">
        <v>35</v>
      </c>
      <c r="I726" s="763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7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0)</f>
        <v>0</v>
      </c>
      <c r="K726" s="38">
        <f t="shared" ca="1" si="331"/>
        <v>0</v>
      </c>
      <c r="L726" s="38"/>
      <c r="M726" s="189"/>
      <c r="N726" s="764"/>
      <c r="O726" s="38"/>
      <c r="P726" s="3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20.25" customHeight="1">
      <c r="A727" s="742"/>
      <c r="B727" s="575"/>
      <c r="C727" s="575"/>
      <c r="D727" s="575"/>
      <c r="E727" s="575"/>
      <c r="F727" s="575"/>
      <c r="G727" s="189"/>
      <c r="H727" s="182" t="s">
        <v>34</v>
      </c>
      <c r="I727" s="763"/>
      <c r="J727" s="37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0)</f>
        <v>0</v>
      </c>
      <c r="K727" s="38"/>
      <c r="L727" s="764"/>
      <c r="M727" s="189"/>
      <c r="N727" s="764"/>
      <c r="O727" s="38"/>
      <c r="P727" s="3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20.25" customHeight="1">
      <c r="A728" s="742"/>
      <c r="B728" s="575"/>
      <c r="C728" s="575"/>
      <c r="D728" s="575"/>
      <c r="E728" s="575"/>
      <c r="F728" s="575"/>
      <c r="G728" s="189"/>
      <c r="H728" s="182" t="s">
        <v>46</v>
      </c>
      <c r="I728" s="763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7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0)</f>
        <v>0</v>
      </c>
      <c r="K728" s="38">
        <f t="shared" ref="K728:K729" ca="1" si="332">IF(I728&gt;0,J728*100/I728,0)</f>
        <v>0</v>
      </c>
      <c r="L728" s="764"/>
      <c r="M728" s="189"/>
      <c r="N728" s="764"/>
      <c r="O728" s="38"/>
      <c r="P728" s="3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20.25" customHeight="1">
      <c r="A729" s="742"/>
      <c r="B729" s="575"/>
      <c r="C729" s="575"/>
      <c r="D729" s="576" t="s">
        <v>309</v>
      </c>
      <c r="E729" s="575"/>
      <c r="F729" s="575"/>
      <c r="G729" s="189"/>
      <c r="H729" s="192" t="s">
        <v>46</v>
      </c>
      <c r="I729" s="766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4">
        <f ca="1">J732+J735</f>
        <v>0</v>
      </c>
      <c r="K729" s="195">
        <f t="shared" ca="1" si="332"/>
        <v>0</v>
      </c>
      <c r="L729" s="38"/>
      <c r="M729" s="189"/>
      <c r="N729" s="764"/>
      <c r="O729" s="38"/>
      <c r="P729" s="3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20.25" customHeight="1">
      <c r="A730" s="742"/>
      <c r="B730" s="575"/>
      <c r="C730" s="575"/>
      <c r="D730" s="575"/>
      <c r="E730" s="576" t="s">
        <v>310</v>
      </c>
      <c r="F730" s="575"/>
      <c r="G730" s="189"/>
      <c r="H730" s="182" t="s">
        <v>35</v>
      </c>
      <c r="I730" s="763"/>
      <c r="J730" s="183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8"/>
      <c r="L730" s="764"/>
      <c r="M730" s="38"/>
      <c r="N730" s="764"/>
      <c r="O730" s="38"/>
      <c r="P730" s="3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20.25" customHeight="1">
      <c r="A731" s="742"/>
      <c r="B731" s="575"/>
      <c r="C731" s="575"/>
      <c r="D731" s="575"/>
      <c r="E731" s="575"/>
      <c r="F731" s="575"/>
      <c r="G731" s="189"/>
      <c r="H731" s="182" t="s">
        <v>34</v>
      </c>
      <c r="I731" s="763"/>
      <c r="J731" s="183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8"/>
      <c r="L731" s="764"/>
      <c r="M731" s="38"/>
      <c r="N731" s="764"/>
      <c r="O731" s="38"/>
      <c r="P731" s="3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20.25" customHeight="1">
      <c r="A732" s="742"/>
      <c r="B732" s="575"/>
      <c r="C732" s="575"/>
      <c r="D732" s="575"/>
      <c r="E732" s="575"/>
      <c r="F732" s="575"/>
      <c r="G732" s="189"/>
      <c r="H732" s="182" t="s">
        <v>46</v>
      </c>
      <c r="I732" s="763"/>
      <c r="J732" s="183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8"/>
      <c r="L732" s="764"/>
      <c r="M732" s="38"/>
      <c r="N732" s="764"/>
      <c r="O732" s="38"/>
      <c r="P732" s="3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20.25" customHeight="1">
      <c r="A733" s="742"/>
      <c r="B733" s="575"/>
      <c r="C733" s="575"/>
      <c r="D733" s="575"/>
      <c r="E733" s="576" t="s">
        <v>311</v>
      </c>
      <c r="F733" s="575"/>
      <c r="G733" s="189"/>
      <c r="H733" s="182" t="s">
        <v>35</v>
      </c>
      <c r="I733" s="763"/>
      <c r="J733" s="183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8"/>
      <c r="L733" s="764"/>
      <c r="M733" s="38"/>
      <c r="N733" s="764"/>
      <c r="O733" s="38"/>
      <c r="P733" s="3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20.25" customHeight="1">
      <c r="A734" s="742"/>
      <c r="B734" s="575"/>
      <c r="C734" s="575"/>
      <c r="D734" s="575"/>
      <c r="E734" s="575"/>
      <c r="F734" s="575"/>
      <c r="G734" s="189"/>
      <c r="H734" s="182" t="s">
        <v>34</v>
      </c>
      <c r="I734" s="763"/>
      <c r="J734" s="183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8"/>
      <c r="L734" s="764"/>
      <c r="M734" s="38"/>
      <c r="N734" s="764"/>
      <c r="O734" s="38"/>
      <c r="P734" s="3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20.25" customHeight="1">
      <c r="A735" s="768"/>
      <c r="B735" s="769" t="s">
        <v>312</v>
      </c>
      <c r="C735" s="732"/>
      <c r="D735" s="732"/>
      <c r="E735" s="732"/>
      <c r="F735" s="732"/>
      <c r="G735" s="733"/>
      <c r="H735" s="423" t="s">
        <v>46</v>
      </c>
      <c r="I735" s="770"/>
      <c r="J735" s="425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506"/>
      <c r="L735" s="771"/>
      <c r="M735" s="506"/>
      <c r="N735" s="771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20.25" hidden="1" customHeight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20.25" hidden="1" customHeight="1">
      <c r="A737" s="598"/>
      <c r="B737" s="599"/>
      <c r="C737" s="599" t="s">
        <v>16</v>
      </c>
      <c r="D737" s="848" t="s">
        <v>17</v>
      </c>
      <c r="E737" s="841"/>
      <c r="F737" s="841"/>
      <c r="G737" s="602"/>
      <c r="H737" s="644" t="s">
        <v>12</v>
      </c>
      <c r="I737" s="44"/>
      <c r="J737" s="44"/>
      <c r="K737" s="45"/>
      <c r="L737" s="645">
        <f t="shared" ref="L737:N737" si="333">L738+L739</f>
        <v>0</v>
      </c>
      <c r="M737" s="645">
        <f t="shared" si="333"/>
        <v>0</v>
      </c>
      <c r="N737" s="645">
        <f t="shared" si="333"/>
        <v>0</v>
      </c>
      <c r="O737" s="645">
        <f t="shared" ref="O737:O742" si="334">IF(L737&gt;0,N737*100/L737,0)</f>
        <v>0</v>
      </c>
      <c r="P737" s="645">
        <f t="shared" ref="P737:P742" si="33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20.25" hidden="1" customHeight="1">
      <c r="A738" s="598"/>
      <c r="B738" s="599"/>
      <c r="C738" s="599"/>
      <c r="D738" s="600"/>
      <c r="E738" s="601" t="s">
        <v>185</v>
      </c>
      <c r="F738" s="599"/>
      <c r="G738" s="602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20.25" hidden="1" customHeight="1">
      <c r="A739" s="598"/>
      <c r="B739" s="604"/>
      <c r="C739" s="599"/>
      <c r="D739" s="600"/>
      <c r="E739" s="601" t="s">
        <v>186</v>
      </c>
      <c r="F739" s="599"/>
      <c r="G739" s="602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20.25" hidden="1" customHeight="1">
      <c r="A740" s="598"/>
      <c r="B740" s="604"/>
      <c r="C740" s="599"/>
      <c r="D740" s="780" t="s">
        <v>20</v>
      </c>
      <c r="E740" s="599"/>
      <c r="F740" s="599"/>
      <c r="G740" s="602"/>
      <c r="H740" s="644" t="s">
        <v>12</v>
      </c>
      <c r="I740" s="166"/>
      <c r="J740" s="166"/>
      <c r="K740" s="167"/>
      <c r="L740" s="645">
        <f t="shared" ref="L740:N740" si="338">L741+L742</f>
        <v>0</v>
      </c>
      <c r="M740" s="645">
        <f t="shared" si="338"/>
        <v>0</v>
      </c>
      <c r="N740" s="645">
        <f t="shared" si="338"/>
        <v>0</v>
      </c>
      <c r="O740" s="645">
        <f t="shared" si="334"/>
        <v>0</v>
      </c>
      <c r="P740" s="645">
        <f t="shared" si="33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20.25" hidden="1" customHeight="1">
      <c r="A741" s="598"/>
      <c r="B741" s="604"/>
      <c r="C741" s="599"/>
      <c r="D741" s="600"/>
      <c r="E741" s="601" t="s">
        <v>185</v>
      </c>
      <c r="F741" s="599"/>
      <c r="G741" s="602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20.25" hidden="1" customHeight="1">
      <c r="A742" s="598"/>
      <c r="B742" s="604"/>
      <c r="C742" s="599"/>
      <c r="D742" s="600"/>
      <c r="E742" s="601" t="s">
        <v>186</v>
      </c>
      <c r="F742" s="599"/>
      <c r="G742" s="602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20.25" hidden="1" customHeight="1">
      <c r="A743" s="647"/>
      <c r="B743" s="604"/>
      <c r="C743" s="599"/>
      <c r="D743" s="599"/>
      <c r="E743" s="599"/>
      <c r="F743" s="601" t="s">
        <v>187</v>
      </c>
      <c r="G743" s="602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20.25" hidden="1" customHeight="1">
      <c r="A744" s="647"/>
      <c r="B744" s="604"/>
      <c r="C744" s="599"/>
      <c r="D744" s="599"/>
      <c r="E744" s="599"/>
      <c r="F744" s="601" t="s">
        <v>188</v>
      </c>
      <c r="G744" s="602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20.25" hidden="1" customHeight="1">
      <c r="A745" s="647"/>
      <c r="B745" s="604"/>
      <c r="C745" s="599"/>
      <c r="D745" s="599"/>
      <c r="E745" s="599"/>
      <c r="F745" s="601" t="s">
        <v>189</v>
      </c>
      <c r="G745" s="602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20.25" hidden="1" customHeight="1">
      <c r="A746" s="647"/>
      <c r="B746" s="604"/>
      <c r="C746" s="599"/>
      <c r="D746" s="599"/>
      <c r="E746" s="599"/>
      <c r="F746" s="601" t="s">
        <v>190</v>
      </c>
      <c r="G746" s="602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20.25" hidden="1" customHeight="1">
      <c r="A747" s="598"/>
      <c r="B747" s="604"/>
      <c r="C747" s="599"/>
      <c r="D747" s="780" t="s">
        <v>21</v>
      </c>
      <c r="E747" s="599"/>
      <c r="F747" s="599"/>
      <c r="G747" s="602"/>
      <c r="H747" s="781" t="s">
        <v>12</v>
      </c>
      <c r="I747" s="166"/>
      <c r="J747" s="166"/>
      <c r="K747" s="167"/>
      <c r="L747" s="645">
        <f t="shared" ref="L747:N747" si="339">L748+L749</f>
        <v>0</v>
      </c>
      <c r="M747" s="645">
        <f t="shared" si="339"/>
        <v>0</v>
      </c>
      <c r="N747" s="645">
        <f t="shared" si="339"/>
        <v>0</v>
      </c>
      <c r="O747" s="645">
        <f t="shared" ref="O747:O749" si="340">IF(L747&gt;0,N747*100/L747,0)</f>
        <v>0</v>
      </c>
      <c r="P747" s="645">
        <f t="shared" ref="P747:P749" si="34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20.25" hidden="1" customHeight="1">
      <c r="A748" s="598"/>
      <c r="B748" s="604"/>
      <c r="C748" s="599"/>
      <c r="D748" s="599"/>
      <c r="E748" s="601" t="s">
        <v>18</v>
      </c>
      <c r="F748" s="599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20.25" hidden="1" customHeight="1">
      <c r="A749" s="598"/>
      <c r="B749" s="604"/>
      <c r="C749" s="599"/>
      <c r="D749" s="599"/>
      <c r="E749" s="601" t="s">
        <v>19</v>
      </c>
      <c r="F749" s="599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20.25" hidden="1" customHeight="1">
      <c r="A750" s="613"/>
      <c r="B750" s="614"/>
      <c r="C750" s="599" t="s">
        <v>16</v>
      </c>
      <c r="D750" s="782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20.25" hidden="1" customHeight="1">
      <c r="A751" s="647"/>
      <c r="B751" s="604"/>
      <c r="C751" s="599"/>
      <c r="D751" s="599"/>
      <c r="E751" s="601" t="s">
        <v>314</v>
      </c>
      <c r="F751" s="599"/>
      <c r="G751" s="602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20.25" hidden="1" customHeight="1">
      <c r="A752" s="647"/>
      <c r="B752" s="604"/>
      <c r="C752" s="599"/>
      <c r="D752" s="599"/>
      <c r="E752" s="599"/>
      <c r="F752" s="599"/>
      <c r="G752" s="602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20.25" hidden="1" customHeight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20.25" hidden="1" customHeight="1">
      <c r="A754" s="598"/>
      <c r="B754" s="599"/>
      <c r="C754" s="599" t="s">
        <v>16</v>
      </c>
      <c r="D754" s="848" t="s">
        <v>17</v>
      </c>
      <c r="E754" s="841"/>
      <c r="F754" s="841"/>
      <c r="G754" s="602"/>
      <c r="H754" s="644" t="s">
        <v>12</v>
      </c>
      <c r="I754" s="44"/>
      <c r="J754" s="44"/>
      <c r="K754" s="45"/>
      <c r="L754" s="645">
        <f t="shared" ref="L754:N754" si="342">L755+L756</f>
        <v>0</v>
      </c>
      <c r="M754" s="645">
        <f t="shared" si="342"/>
        <v>0</v>
      </c>
      <c r="N754" s="645">
        <f t="shared" si="342"/>
        <v>0</v>
      </c>
      <c r="O754" s="645">
        <f t="shared" ref="O754:O759" si="343">IF(L754&gt;0,N754*100/L754,0)</f>
        <v>0</v>
      </c>
      <c r="P754" s="645">
        <f t="shared" ref="P754:P759" si="34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20.25" hidden="1" customHeight="1">
      <c r="A755" s="598"/>
      <c r="B755" s="599"/>
      <c r="C755" s="599"/>
      <c r="D755" s="600"/>
      <c r="E755" s="601" t="s">
        <v>185</v>
      </c>
      <c r="F755" s="599"/>
      <c r="G755" s="602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20.25" hidden="1" customHeight="1">
      <c r="A756" s="598"/>
      <c r="B756" s="604"/>
      <c r="C756" s="599"/>
      <c r="D756" s="600"/>
      <c r="E756" s="601" t="s">
        <v>186</v>
      </c>
      <c r="F756" s="599"/>
      <c r="G756" s="602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20.25" hidden="1" customHeight="1">
      <c r="A757" s="598"/>
      <c r="B757" s="604"/>
      <c r="C757" s="599"/>
      <c r="D757" s="780" t="s">
        <v>20</v>
      </c>
      <c r="E757" s="599"/>
      <c r="F757" s="599"/>
      <c r="G757" s="602"/>
      <c r="H757" s="644" t="s">
        <v>12</v>
      </c>
      <c r="I757" s="166"/>
      <c r="J757" s="166"/>
      <c r="K757" s="167"/>
      <c r="L757" s="645">
        <f t="shared" ref="L757:N757" si="347">L758+L759</f>
        <v>0</v>
      </c>
      <c r="M757" s="645">
        <f t="shared" si="347"/>
        <v>0</v>
      </c>
      <c r="N757" s="645">
        <f t="shared" si="347"/>
        <v>0</v>
      </c>
      <c r="O757" s="645">
        <f t="shared" si="343"/>
        <v>0</v>
      </c>
      <c r="P757" s="645">
        <f t="shared" si="34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20.25" hidden="1" customHeight="1">
      <c r="A758" s="598"/>
      <c r="B758" s="604"/>
      <c r="C758" s="599"/>
      <c r="D758" s="600"/>
      <c r="E758" s="601" t="s">
        <v>185</v>
      </c>
      <c r="F758" s="599"/>
      <c r="G758" s="602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20.25" hidden="1" customHeight="1">
      <c r="A759" s="598"/>
      <c r="B759" s="604"/>
      <c r="C759" s="599"/>
      <c r="D759" s="600"/>
      <c r="E759" s="601" t="s">
        <v>186</v>
      </c>
      <c r="F759" s="599"/>
      <c r="G759" s="602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20.25" hidden="1" customHeight="1">
      <c r="A760" s="647"/>
      <c r="B760" s="604"/>
      <c r="C760" s="599"/>
      <c r="D760" s="599"/>
      <c r="E760" s="599"/>
      <c r="F760" s="601" t="s">
        <v>187</v>
      </c>
      <c r="G760" s="602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20.25" hidden="1" customHeight="1">
      <c r="A761" s="647"/>
      <c r="B761" s="604"/>
      <c r="C761" s="599"/>
      <c r="D761" s="599"/>
      <c r="E761" s="599"/>
      <c r="F761" s="601" t="s">
        <v>188</v>
      </c>
      <c r="G761" s="602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20.25" hidden="1" customHeight="1">
      <c r="A762" s="647"/>
      <c r="B762" s="604"/>
      <c r="C762" s="599"/>
      <c r="D762" s="599"/>
      <c r="E762" s="599"/>
      <c r="F762" s="601" t="s">
        <v>189</v>
      </c>
      <c r="G762" s="602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20.25" hidden="1" customHeight="1">
      <c r="A763" s="647"/>
      <c r="B763" s="604"/>
      <c r="C763" s="599"/>
      <c r="D763" s="599"/>
      <c r="E763" s="599"/>
      <c r="F763" s="601" t="s">
        <v>190</v>
      </c>
      <c r="G763" s="602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20.25" hidden="1" customHeight="1">
      <c r="A764" s="598"/>
      <c r="B764" s="604"/>
      <c r="C764" s="599"/>
      <c r="D764" s="780" t="s">
        <v>21</v>
      </c>
      <c r="E764" s="599"/>
      <c r="F764" s="599"/>
      <c r="G764" s="602"/>
      <c r="H764" s="781" t="s">
        <v>12</v>
      </c>
      <c r="I764" s="166"/>
      <c r="J764" s="166"/>
      <c r="K764" s="167"/>
      <c r="L764" s="645">
        <f t="shared" ref="L764:N764" si="348">L765+L766</f>
        <v>0</v>
      </c>
      <c r="M764" s="645">
        <f t="shared" si="348"/>
        <v>0</v>
      </c>
      <c r="N764" s="645">
        <f t="shared" si="348"/>
        <v>0</v>
      </c>
      <c r="O764" s="645">
        <f t="shared" ref="O764:O766" si="349">IF(L764&gt;0,N764*100/L764,0)</f>
        <v>0</v>
      </c>
      <c r="P764" s="645">
        <f t="shared" ref="P764:P766" si="350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20.25" hidden="1" customHeight="1">
      <c r="A765" s="598"/>
      <c r="B765" s="604"/>
      <c r="C765" s="599"/>
      <c r="D765" s="599"/>
      <c r="E765" s="601" t="s">
        <v>18</v>
      </c>
      <c r="F765" s="599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20.25" hidden="1" customHeight="1">
      <c r="A766" s="598"/>
      <c r="B766" s="604"/>
      <c r="C766" s="599"/>
      <c r="D766" s="599"/>
      <c r="E766" s="601" t="s">
        <v>19</v>
      </c>
      <c r="F766" s="599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20.25" hidden="1" customHeight="1">
      <c r="A767" s="613"/>
      <c r="B767" s="614"/>
      <c r="C767" s="599" t="s">
        <v>16</v>
      </c>
      <c r="D767" s="782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20.25" hidden="1" customHeight="1">
      <c r="A768" s="647"/>
      <c r="B768" s="604"/>
      <c r="C768" s="599"/>
      <c r="D768" s="599"/>
      <c r="E768" s="601" t="s">
        <v>317</v>
      </c>
      <c r="F768" s="599"/>
      <c r="G768" s="602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20.25" hidden="1" customHeight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20.25" hidden="1" customHeight="1">
      <c r="A770" s="598"/>
      <c r="B770" s="599"/>
      <c r="C770" s="599" t="s">
        <v>16</v>
      </c>
      <c r="D770" s="848" t="s">
        <v>17</v>
      </c>
      <c r="E770" s="841"/>
      <c r="F770" s="841"/>
      <c r="G770" s="602"/>
      <c r="H770" s="644" t="s">
        <v>12</v>
      </c>
      <c r="I770" s="44"/>
      <c r="J770" s="44"/>
      <c r="K770" s="45"/>
      <c r="L770" s="645">
        <f t="shared" ref="L770:N770" si="351">L771+L772</f>
        <v>0</v>
      </c>
      <c r="M770" s="645">
        <f t="shared" si="351"/>
        <v>0</v>
      </c>
      <c r="N770" s="645">
        <f t="shared" si="351"/>
        <v>0</v>
      </c>
      <c r="O770" s="645">
        <f t="shared" ref="O770:O775" si="352">IF(L770&gt;0,N770*100/L770,0)</f>
        <v>0</v>
      </c>
      <c r="P770" s="645">
        <f t="shared" ref="P770:P775" si="353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20.25" hidden="1" customHeight="1">
      <c r="A771" s="598"/>
      <c r="B771" s="599"/>
      <c r="C771" s="599"/>
      <c r="D771" s="600"/>
      <c r="E771" s="601" t="s">
        <v>185</v>
      </c>
      <c r="F771" s="599"/>
      <c r="G771" s="602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20.25" hidden="1" customHeight="1">
      <c r="A772" s="598"/>
      <c r="B772" s="604"/>
      <c r="C772" s="599"/>
      <c r="D772" s="600"/>
      <c r="E772" s="601" t="s">
        <v>186</v>
      </c>
      <c r="F772" s="599"/>
      <c r="G772" s="602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20.25" hidden="1" customHeight="1">
      <c r="A773" s="598"/>
      <c r="B773" s="604"/>
      <c r="C773" s="599"/>
      <c r="D773" s="780" t="s">
        <v>20</v>
      </c>
      <c r="E773" s="599"/>
      <c r="F773" s="599"/>
      <c r="G773" s="602"/>
      <c r="H773" s="644" t="s">
        <v>12</v>
      </c>
      <c r="I773" s="166"/>
      <c r="J773" s="166"/>
      <c r="K773" s="167"/>
      <c r="L773" s="645">
        <f t="shared" ref="L773:N773" si="356">L774+L775</f>
        <v>0</v>
      </c>
      <c r="M773" s="645">
        <f t="shared" si="356"/>
        <v>0</v>
      </c>
      <c r="N773" s="645">
        <f t="shared" si="356"/>
        <v>0</v>
      </c>
      <c r="O773" s="645">
        <f t="shared" si="352"/>
        <v>0</v>
      </c>
      <c r="P773" s="645">
        <f t="shared" si="353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20.25" hidden="1" customHeight="1">
      <c r="A774" s="598"/>
      <c r="B774" s="604"/>
      <c r="C774" s="599"/>
      <c r="D774" s="600"/>
      <c r="E774" s="601" t="s">
        <v>185</v>
      </c>
      <c r="F774" s="599"/>
      <c r="G774" s="602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20.25" hidden="1" customHeight="1">
      <c r="A775" s="598"/>
      <c r="B775" s="604"/>
      <c r="C775" s="599"/>
      <c r="D775" s="600"/>
      <c r="E775" s="601" t="s">
        <v>186</v>
      </c>
      <c r="F775" s="599"/>
      <c r="G775" s="602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20.25" hidden="1" customHeight="1">
      <c r="A776" s="647"/>
      <c r="B776" s="604"/>
      <c r="C776" s="599"/>
      <c r="D776" s="599"/>
      <c r="E776" s="599"/>
      <c r="F776" s="601" t="s">
        <v>187</v>
      </c>
      <c r="G776" s="602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20.25" hidden="1" customHeight="1">
      <c r="A777" s="647"/>
      <c r="B777" s="604"/>
      <c r="C777" s="599"/>
      <c r="D777" s="599"/>
      <c r="E777" s="599"/>
      <c r="F777" s="601" t="s">
        <v>188</v>
      </c>
      <c r="G777" s="602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20.25" hidden="1" customHeight="1">
      <c r="A778" s="647"/>
      <c r="B778" s="604"/>
      <c r="C778" s="599"/>
      <c r="D778" s="599"/>
      <c r="E778" s="599"/>
      <c r="F778" s="601" t="s">
        <v>189</v>
      </c>
      <c r="G778" s="602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20.25" hidden="1" customHeight="1">
      <c r="A779" s="647"/>
      <c r="B779" s="604"/>
      <c r="C779" s="599"/>
      <c r="D779" s="599"/>
      <c r="E779" s="599"/>
      <c r="F779" s="601" t="s">
        <v>190</v>
      </c>
      <c r="G779" s="602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20.25" hidden="1" customHeight="1">
      <c r="A780" s="598"/>
      <c r="B780" s="604"/>
      <c r="C780" s="599"/>
      <c r="D780" s="780" t="s">
        <v>21</v>
      </c>
      <c r="E780" s="599"/>
      <c r="F780" s="599"/>
      <c r="G780" s="602"/>
      <c r="H780" s="781" t="s">
        <v>12</v>
      </c>
      <c r="I780" s="166"/>
      <c r="J780" s="166"/>
      <c r="K780" s="167"/>
      <c r="L780" s="645">
        <f t="shared" ref="L780:N780" si="357">L781+L782</f>
        <v>0</v>
      </c>
      <c r="M780" s="645">
        <f t="shared" si="357"/>
        <v>0</v>
      </c>
      <c r="N780" s="645">
        <f t="shared" si="357"/>
        <v>0</v>
      </c>
      <c r="O780" s="645">
        <f t="shared" ref="O780:O782" si="358">IF(L780&gt;0,N780*100/L780,0)</f>
        <v>0</v>
      </c>
      <c r="P780" s="645">
        <f t="shared" ref="P780:P782" si="359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20.25" hidden="1" customHeight="1">
      <c r="A781" s="598"/>
      <c r="B781" s="604"/>
      <c r="C781" s="599"/>
      <c r="D781" s="599"/>
      <c r="E781" s="601" t="s">
        <v>18</v>
      </c>
      <c r="F781" s="599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20.25" hidden="1" customHeight="1">
      <c r="A782" s="598"/>
      <c r="B782" s="604"/>
      <c r="C782" s="599"/>
      <c r="D782" s="599"/>
      <c r="E782" s="601" t="s">
        <v>19</v>
      </c>
      <c r="F782" s="599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20.25" hidden="1" customHeight="1">
      <c r="A783" s="613"/>
      <c r="B783" s="614"/>
      <c r="C783" s="599" t="s">
        <v>16</v>
      </c>
      <c r="D783" s="782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20.25" hidden="1" customHeight="1">
      <c r="A784" s="647"/>
      <c r="B784" s="604"/>
      <c r="C784" s="599"/>
      <c r="D784" s="599"/>
      <c r="E784" s="601" t="s">
        <v>319</v>
      </c>
      <c r="F784" s="599"/>
      <c r="G784" s="602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20.25" customHeight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60">I800</f>
        <v>0</v>
      </c>
      <c r="J785" s="806">
        <f t="shared" ca="1" si="360"/>
        <v>0</v>
      </c>
      <c r="K785" s="807">
        <f ca="1">IF(I785&gt;0,J785*100/I785,0)</f>
        <v>0</v>
      </c>
      <c r="L785" s="808"/>
      <c r="M785" s="808"/>
      <c r="N785" s="808"/>
      <c r="O785" s="808"/>
      <c r="P785" s="808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20.25" customHeight="1">
      <c r="A786" s="596"/>
      <c r="B786" s="574"/>
      <c r="C786" s="575" t="s">
        <v>16</v>
      </c>
      <c r="D786" s="847" t="s">
        <v>17</v>
      </c>
      <c r="E786" s="841"/>
      <c r="F786" s="841"/>
      <c r="G786" s="189"/>
      <c r="H786" s="597" t="s">
        <v>12</v>
      </c>
      <c r="I786" s="37"/>
      <c r="J786" s="37"/>
      <c r="K786" s="38"/>
      <c r="L786" s="195">
        <f t="shared" ref="L786:N786" ca="1" si="361">L787+L788</f>
        <v>0</v>
      </c>
      <c r="M786" s="195">
        <f t="shared" si="361"/>
        <v>0</v>
      </c>
      <c r="N786" s="195">
        <f t="shared" ca="1" si="361"/>
        <v>0</v>
      </c>
      <c r="O786" s="195">
        <f t="shared" ref="O786:O791" ca="1" si="362">IF(L786&gt;0,N786*100/L786,0)</f>
        <v>0</v>
      </c>
      <c r="P786" s="195">
        <f t="shared" ref="P786:P791" si="363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20.25" hidden="1" customHeight="1">
      <c r="A787" s="598"/>
      <c r="B787" s="604"/>
      <c r="C787" s="599"/>
      <c r="D787" s="600"/>
      <c r="E787" s="601" t="s">
        <v>185</v>
      </c>
      <c r="F787" s="599"/>
      <c r="G787" s="602"/>
      <c r="H787" s="165" t="s">
        <v>12</v>
      </c>
      <c r="I787" s="44"/>
      <c r="J787" s="44"/>
      <c r="K787" s="4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20.25" hidden="1" customHeight="1">
      <c r="A788" s="598"/>
      <c r="B788" s="604"/>
      <c r="C788" s="604"/>
      <c r="D788" s="614"/>
      <c r="E788" s="601" t="s">
        <v>186</v>
      </c>
      <c r="F788" s="599"/>
      <c r="G788" s="602"/>
      <c r="H788" s="165" t="s">
        <v>12</v>
      </c>
      <c r="I788" s="44"/>
      <c r="J788" s="44"/>
      <c r="K788" s="45"/>
      <c r="L788" s="45">
        <f t="shared" ref="L788:N788" ca="1" si="365">L791+L798</f>
        <v>0</v>
      </c>
      <c r="M788" s="45">
        <f t="shared" si="365"/>
        <v>0</v>
      </c>
      <c r="N788" s="45">
        <f t="shared" ca="1" si="365"/>
        <v>0</v>
      </c>
      <c r="O788" s="45">
        <f t="shared" ca="1" si="362"/>
        <v>0</v>
      </c>
      <c r="P788" s="45">
        <f t="shared" si="363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20.25" customHeight="1">
      <c r="A789" s="596"/>
      <c r="B789" s="574"/>
      <c r="C789" s="574"/>
      <c r="D789" s="605" t="s">
        <v>20</v>
      </c>
      <c r="E789" s="575"/>
      <c r="F789" s="575"/>
      <c r="G789" s="189"/>
      <c r="H789" s="161" t="s">
        <v>12</v>
      </c>
      <c r="I789" s="162"/>
      <c r="J789" s="162"/>
      <c r="K789" s="163"/>
      <c r="L789" s="38">
        <f t="shared" ref="L789:N789" ca="1" si="366">L790+L791</f>
        <v>0</v>
      </c>
      <c r="M789" s="38">
        <f t="shared" si="366"/>
        <v>0</v>
      </c>
      <c r="N789" s="38">
        <f t="shared" ca="1" si="366"/>
        <v>0</v>
      </c>
      <c r="O789" s="38">
        <f t="shared" ca="1" si="362"/>
        <v>0</v>
      </c>
      <c r="P789" s="38">
        <f t="shared" si="363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20.25" hidden="1" customHeight="1">
      <c r="A790" s="598"/>
      <c r="B790" s="604"/>
      <c r="C790" s="604"/>
      <c r="D790" s="614"/>
      <c r="E790" s="601" t="s">
        <v>185</v>
      </c>
      <c r="F790" s="599"/>
      <c r="G790" s="602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20.25" hidden="1" customHeight="1">
      <c r="A791" s="598"/>
      <c r="B791" s="604"/>
      <c r="C791" s="604"/>
      <c r="D791" s="614"/>
      <c r="E791" s="601" t="s">
        <v>186</v>
      </c>
      <c r="F791" s="599"/>
      <c r="G791" s="602"/>
      <c r="H791" s="165" t="s">
        <v>12</v>
      </c>
      <c r="I791" s="44"/>
      <c r="J791" s="44"/>
      <c r="K791" s="45"/>
      <c r="L791" s="45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93">
        <v>0</v>
      </c>
      <c r="N791" s="45">
        <f ca="1">N792+N793+N794+N795</f>
        <v>0</v>
      </c>
      <c r="O791" s="45">
        <f t="shared" ca="1" si="362"/>
        <v>0</v>
      </c>
      <c r="P791" s="45">
        <f t="shared" si="363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20.25" customHeight="1">
      <c r="A792" s="573"/>
      <c r="B792" s="574"/>
      <c r="C792" s="575"/>
      <c r="D792" s="575"/>
      <c r="E792" s="575"/>
      <c r="F792" s="576" t="s">
        <v>187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8"/>
      <c r="P792" s="3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20.25" customHeight="1">
      <c r="A793" s="573"/>
      <c r="B793" s="574"/>
      <c r="C793" s="575"/>
      <c r="D793" s="575"/>
      <c r="E793" s="575"/>
      <c r="F793" s="576" t="s">
        <v>188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8"/>
      <c r="P793" s="3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20.25" customHeight="1">
      <c r="A794" s="573"/>
      <c r="B794" s="574"/>
      <c r="C794" s="575"/>
      <c r="D794" s="575"/>
      <c r="E794" s="575"/>
      <c r="F794" s="576" t="s">
        <v>189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8"/>
      <c r="P794" s="3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20.25" customHeight="1">
      <c r="A795" s="573"/>
      <c r="B795" s="574"/>
      <c r="C795" s="575"/>
      <c r="D795" s="575"/>
      <c r="E795" s="575"/>
      <c r="F795" s="576" t="s">
        <v>190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8"/>
      <c r="P795" s="3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20.25" customHeight="1">
      <c r="A796" s="596"/>
      <c r="B796" s="574"/>
      <c r="C796" s="575"/>
      <c r="D796" s="605" t="s">
        <v>21</v>
      </c>
      <c r="E796" s="575"/>
      <c r="F796" s="575"/>
      <c r="G796" s="189"/>
      <c r="H796" s="168" t="s">
        <v>12</v>
      </c>
      <c r="I796" s="162"/>
      <c r="J796" s="162"/>
      <c r="K796" s="16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20.25" hidden="1" customHeight="1">
      <c r="A797" s="598"/>
      <c r="B797" s="604"/>
      <c r="C797" s="599"/>
      <c r="D797" s="599"/>
      <c r="E797" s="601" t="s">
        <v>18</v>
      </c>
      <c r="F797" s="599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20.25" hidden="1" customHeight="1">
      <c r="A798" s="598"/>
      <c r="B798" s="604"/>
      <c r="C798" s="599"/>
      <c r="D798" s="599"/>
      <c r="E798" s="601" t="s">
        <v>19</v>
      </c>
      <c r="F798" s="599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20.25" customHeight="1">
      <c r="A799" s="607"/>
      <c r="B799" s="608"/>
      <c r="C799" s="575" t="s">
        <v>16</v>
      </c>
      <c r="D799" s="758" t="s">
        <v>38</v>
      </c>
      <c r="E799" s="611"/>
      <c r="F799" s="611"/>
      <c r="G799" s="612"/>
      <c r="H799" s="809"/>
      <c r="I799" s="162"/>
      <c r="J799" s="162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20.25" customHeight="1">
      <c r="A800" s="607"/>
      <c r="B800" s="608"/>
      <c r="C800" s="608"/>
      <c r="D800" s="608"/>
      <c r="E800" s="618"/>
      <c r="F800" s="187" t="s">
        <v>321</v>
      </c>
      <c r="G800" s="175"/>
      <c r="H800" s="185" t="s">
        <v>46</v>
      </c>
      <c r="I800" s="162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84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20.25" customHeight="1">
      <c r="A801" s="607"/>
      <c r="B801" s="608"/>
      <c r="C801" s="608"/>
      <c r="D801" s="608"/>
      <c r="E801" s="618"/>
      <c r="F801" s="618"/>
      <c r="G801" s="175"/>
      <c r="H801" s="161" t="s">
        <v>34</v>
      </c>
      <c r="I801" s="162"/>
      <c r="J801" s="37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8"/>
      <c r="L801" s="38"/>
      <c r="M801" s="38"/>
      <c r="N801" s="3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20.25" hidden="1" customHeight="1">
      <c r="A802" s="613"/>
      <c r="B802" s="614"/>
      <c r="C802" s="614"/>
      <c r="D802" s="614"/>
      <c r="E802" s="600"/>
      <c r="F802" s="718" t="s">
        <v>322</v>
      </c>
      <c r="G802" s="366"/>
      <c r="H802" s="651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20.25" hidden="1" customHeight="1">
      <c r="A803" s="613"/>
      <c r="B803" s="614"/>
      <c r="C803" s="614"/>
      <c r="D803" s="614"/>
      <c r="E803" s="600"/>
      <c r="F803" s="600"/>
      <c r="G803" s="366"/>
      <c r="H803" s="651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20.25" hidden="1" customHeight="1">
      <c r="A804" s="791">
        <v>13</v>
      </c>
      <c r="B804" s="792" t="s">
        <v>323</v>
      </c>
      <c r="C804" s="793"/>
      <c r="D804" s="810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20.25" hidden="1" customHeight="1">
      <c r="A805" s="598"/>
      <c r="B805" s="599"/>
      <c r="C805" s="599" t="s">
        <v>16</v>
      </c>
      <c r="D805" s="848" t="s">
        <v>17</v>
      </c>
      <c r="E805" s="841"/>
      <c r="F805" s="841"/>
      <c r="G805" s="602"/>
      <c r="H805" s="644" t="s">
        <v>12</v>
      </c>
      <c r="I805" s="44"/>
      <c r="J805" s="44"/>
      <c r="K805" s="45"/>
      <c r="L805" s="645">
        <f t="shared" ref="L805:N805" si="370">L806+L807</f>
        <v>0</v>
      </c>
      <c r="M805" s="645">
        <f t="shared" si="370"/>
        <v>0</v>
      </c>
      <c r="N805" s="645">
        <f t="shared" si="370"/>
        <v>0</v>
      </c>
      <c r="O805" s="645">
        <f t="shared" ref="O805:O810" si="371">IF(L805&gt;0,N805*100/L805,0)</f>
        <v>0</v>
      </c>
      <c r="P805" s="645">
        <f t="shared" ref="P805:P810" si="372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20.25" hidden="1" customHeight="1">
      <c r="A806" s="598"/>
      <c r="B806" s="599"/>
      <c r="C806" s="599"/>
      <c r="D806" s="614"/>
      <c r="E806" s="601" t="s">
        <v>185</v>
      </c>
      <c r="F806" s="599"/>
      <c r="G806" s="602"/>
      <c r="H806" s="165" t="s">
        <v>12</v>
      </c>
      <c r="I806" s="44"/>
      <c r="J806" s="44"/>
      <c r="K806" s="45"/>
      <c r="L806" s="45">
        <f t="shared" ref="L806:N806" si="373">L809+L816</f>
        <v>0</v>
      </c>
      <c r="M806" s="45">
        <f t="shared" si="373"/>
        <v>0</v>
      </c>
      <c r="N806" s="45">
        <f t="shared" si="373"/>
        <v>0</v>
      </c>
      <c r="O806" s="45">
        <f t="shared" si="371"/>
        <v>0</v>
      </c>
      <c r="P806" s="45">
        <f t="shared" si="372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20.25" hidden="1" customHeight="1">
      <c r="A807" s="598"/>
      <c r="B807" s="599"/>
      <c r="C807" s="599"/>
      <c r="D807" s="614"/>
      <c r="E807" s="601" t="s">
        <v>186</v>
      </c>
      <c r="F807" s="599"/>
      <c r="G807" s="602"/>
      <c r="H807" s="165" t="s">
        <v>12</v>
      </c>
      <c r="I807" s="44"/>
      <c r="J807" s="44"/>
      <c r="K807" s="45"/>
      <c r="L807" s="45">
        <f t="shared" ref="L807:N807" si="374">L810+L817</f>
        <v>0</v>
      </c>
      <c r="M807" s="45">
        <f t="shared" si="374"/>
        <v>0</v>
      </c>
      <c r="N807" s="45">
        <f t="shared" si="374"/>
        <v>0</v>
      </c>
      <c r="O807" s="45">
        <f t="shared" si="371"/>
        <v>0</v>
      </c>
      <c r="P807" s="45">
        <f t="shared" si="372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20.25" hidden="1" customHeight="1">
      <c r="A808" s="598"/>
      <c r="B808" s="604"/>
      <c r="C808" s="599"/>
      <c r="D808" s="850" t="s">
        <v>20</v>
      </c>
      <c r="E808" s="841"/>
      <c r="F808" s="841"/>
      <c r="G808" s="602"/>
      <c r="H808" s="644" t="s">
        <v>12</v>
      </c>
      <c r="I808" s="166"/>
      <c r="J808" s="166"/>
      <c r="K808" s="167"/>
      <c r="L808" s="645">
        <f t="shared" ref="L808:N808" si="375">L809+L810</f>
        <v>0</v>
      </c>
      <c r="M808" s="645">
        <f t="shared" si="375"/>
        <v>0</v>
      </c>
      <c r="N808" s="645">
        <f t="shared" si="375"/>
        <v>0</v>
      </c>
      <c r="O808" s="645">
        <f t="shared" si="371"/>
        <v>0</v>
      </c>
      <c r="P808" s="645">
        <f t="shared" si="372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20.25" hidden="1" customHeight="1">
      <c r="A809" s="598"/>
      <c r="B809" s="599"/>
      <c r="C809" s="599"/>
      <c r="D809" s="614"/>
      <c r="E809" s="601" t="s">
        <v>185</v>
      </c>
      <c r="F809" s="599"/>
      <c r="G809" s="602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1"/>
        <v>0</v>
      </c>
      <c r="P809" s="45">
        <f t="shared" si="372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20.25" hidden="1" customHeight="1">
      <c r="A810" s="598"/>
      <c r="B810" s="599"/>
      <c r="C810" s="599"/>
      <c r="D810" s="614"/>
      <c r="E810" s="601" t="s">
        <v>186</v>
      </c>
      <c r="F810" s="599"/>
      <c r="G810" s="602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1"/>
        <v>0</v>
      </c>
      <c r="P810" s="45">
        <f t="shared" si="372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20.25" hidden="1" customHeight="1">
      <c r="A811" s="647"/>
      <c r="B811" s="604"/>
      <c r="C811" s="599"/>
      <c r="D811" s="604"/>
      <c r="E811" s="599"/>
      <c r="F811" s="601" t="s">
        <v>187</v>
      </c>
      <c r="G811" s="602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20.25" hidden="1" customHeight="1">
      <c r="A812" s="647"/>
      <c r="B812" s="604"/>
      <c r="C812" s="599"/>
      <c r="D812" s="604"/>
      <c r="E812" s="599"/>
      <c r="F812" s="601" t="s">
        <v>188</v>
      </c>
      <c r="G812" s="602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20.25" hidden="1" customHeight="1">
      <c r="A813" s="647"/>
      <c r="B813" s="604"/>
      <c r="C813" s="599"/>
      <c r="D813" s="604"/>
      <c r="E813" s="599"/>
      <c r="F813" s="601" t="s">
        <v>189</v>
      </c>
      <c r="G813" s="602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20.25" hidden="1" customHeight="1">
      <c r="A814" s="647"/>
      <c r="B814" s="604"/>
      <c r="C814" s="599"/>
      <c r="D814" s="604"/>
      <c r="E814" s="599"/>
      <c r="F814" s="601" t="s">
        <v>190</v>
      </c>
      <c r="G814" s="602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20.25" hidden="1" customHeight="1">
      <c r="A815" s="598"/>
      <c r="B815" s="604"/>
      <c r="C815" s="599"/>
      <c r="D815" s="850" t="s">
        <v>21</v>
      </c>
      <c r="E815" s="841"/>
      <c r="F815" s="841"/>
      <c r="G815" s="602"/>
      <c r="H815" s="781" t="s">
        <v>12</v>
      </c>
      <c r="I815" s="166"/>
      <c r="J815" s="166"/>
      <c r="K815" s="167"/>
      <c r="L815" s="645">
        <f t="shared" ref="L815:N815" si="376">L816+L817</f>
        <v>0</v>
      </c>
      <c r="M815" s="645">
        <f t="shared" si="376"/>
        <v>0</v>
      </c>
      <c r="N815" s="645">
        <f t="shared" si="376"/>
        <v>0</v>
      </c>
      <c r="O815" s="645">
        <f t="shared" ref="O815:O817" si="377">IF(L815&gt;0,N815*100/L815,0)</f>
        <v>0</v>
      </c>
      <c r="P815" s="645">
        <f t="shared" ref="P815:P817" si="378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20.25" hidden="1" customHeight="1">
      <c r="A816" s="598"/>
      <c r="B816" s="604"/>
      <c r="C816" s="599"/>
      <c r="D816" s="604"/>
      <c r="E816" s="601" t="s">
        <v>18</v>
      </c>
      <c r="F816" s="599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7"/>
        <v>0</v>
      </c>
      <c r="P816" s="45">
        <f t="shared" si="378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20.25" hidden="1" customHeight="1">
      <c r="A817" s="598"/>
      <c r="B817" s="604"/>
      <c r="C817" s="599"/>
      <c r="D817" s="604"/>
      <c r="E817" s="601" t="s">
        <v>19</v>
      </c>
      <c r="F817" s="599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7"/>
        <v>0</v>
      </c>
      <c r="P817" s="45">
        <f t="shared" si="378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20.25" hidden="1" customHeight="1">
      <c r="A818" s="613"/>
      <c r="B818" s="614"/>
      <c r="C818" s="599" t="s">
        <v>16</v>
      </c>
      <c r="D818" s="811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20.25" hidden="1" customHeight="1">
      <c r="A819" s="812"/>
      <c r="B819" s="813"/>
      <c r="C819" s="814"/>
      <c r="D819" s="813"/>
      <c r="E819" s="815" t="s">
        <v>324</v>
      </c>
      <c r="F819" s="814"/>
      <c r="G819" s="816"/>
      <c r="H819" s="817" t="s">
        <v>46</v>
      </c>
      <c r="I819" s="818"/>
      <c r="J819" s="818"/>
      <c r="K819" s="819"/>
      <c r="L819" s="819"/>
      <c r="M819" s="819"/>
      <c r="N819" s="819"/>
      <c r="O819" s="819"/>
      <c r="P819" s="819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20.25" customHeight="1">
      <c r="A820" s="820" t="s">
        <v>325</v>
      </c>
      <c r="B820" s="821"/>
      <c r="C820" s="821"/>
      <c r="D820" s="822"/>
      <c r="E820" s="821"/>
      <c r="F820" s="821"/>
      <c r="G820" s="823"/>
      <c r="H820" s="82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215"/>
      <c r="J820" s="215"/>
      <c r="K820" s="825"/>
      <c r="L820" s="825"/>
      <c r="M820" s="825"/>
      <c r="N820" s="825"/>
      <c r="O820" s="825"/>
      <c r="P820" s="825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20.25" customHeight="1">
      <c r="A821" s="742"/>
      <c r="B821" s="576" t="s">
        <v>326</v>
      </c>
      <c r="C821" s="575"/>
      <c r="D821" s="574"/>
      <c r="E821" s="575"/>
      <c r="F821" s="575"/>
      <c r="G821" s="189"/>
      <c r="H821" s="36" t="s">
        <v>12</v>
      </c>
      <c r="I821" s="37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20270601.86)</f>
        <v>20270601.859999999</v>
      </c>
      <c r="J821" s="37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8646915.06999999)</f>
        <v>8646915.0699999891</v>
      </c>
      <c r="K821" s="38">
        <f t="shared" ref="K821:K828" ca="1" si="379">IF(I821&gt;0,J821*100/I821,0)</f>
        <v>42.657416537113072</v>
      </c>
      <c r="L821" s="38"/>
      <c r="M821" s="38"/>
      <c r="N821" s="38"/>
      <c r="O821" s="38"/>
      <c r="P821" s="3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20.25" customHeight="1">
      <c r="A822" s="742"/>
      <c r="B822" s="575"/>
      <c r="C822" s="575"/>
      <c r="D822" s="574"/>
      <c r="E822" s="575"/>
      <c r="F822" s="575"/>
      <c r="G822" s="189"/>
      <c r="H822" s="36" t="s">
        <v>35</v>
      </c>
      <c r="I822" s="37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1508)</f>
        <v>1508</v>
      </c>
      <c r="J822" s="37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708)</f>
        <v>708</v>
      </c>
      <c r="K822" s="38">
        <f t="shared" ca="1" si="379"/>
        <v>46.949602122015918</v>
      </c>
      <c r="L822" s="38"/>
      <c r="M822" s="38"/>
      <c r="N822" s="38"/>
      <c r="O822" s="38"/>
      <c r="P822" s="3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20.25" customHeight="1">
      <c r="A823" s="742"/>
      <c r="B823" s="576" t="s">
        <v>327</v>
      </c>
      <c r="C823" s="575"/>
      <c r="D823" s="574"/>
      <c r="E823" s="575"/>
      <c r="F823" s="575"/>
      <c r="G823" s="189"/>
      <c r="H823" s="36" t="s">
        <v>12</v>
      </c>
      <c r="I823" s="37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14139693.52)</f>
        <v>14139693.52</v>
      </c>
      <c r="J823" s="37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2589782.13)</f>
        <v>2589782.13</v>
      </c>
      <c r="K823" s="38">
        <f t="shared" ca="1" si="379"/>
        <v>18.315687863650385</v>
      </c>
      <c r="L823" s="38"/>
      <c r="M823" s="38"/>
      <c r="N823" s="38"/>
      <c r="O823" s="38"/>
      <c r="P823" s="3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20.25" customHeight="1">
      <c r="A824" s="742"/>
      <c r="B824" s="575"/>
      <c r="C824" s="575"/>
      <c r="D824" s="574"/>
      <c r="E824" s="575"/>
      <c r="F824" s="575"/>
      <c r="G824" s="189"/>
      <c r="H824" s="36" t="s">
        <v>35</v>
      </c>
      <c r="I824" s="37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681)</f>
        <v>681</v>
      </c>
      <c r="J824" s="37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512)</f>
        <v>512</v>
      </c>
      <c r="K824" s="38">
        <f t="shared" ca="1" si="379"/>
        <v>75.183553597650516</v>
      </c>
      <c r="L824" s="38"/>
      <c r="M824" s="38"/>
      <c r="N824" s="38"/>
      <c r="O824" s="38"/>
      <c r="P824" s="3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20.25" customHeight="1">
      <c r="A825" s="742"/>
      <c r="B825" s="576" t="s">
        <v>328</v>
      </c>
      <c r="C825" s="575"/>
      <c r="D825" s="574"/>
      <c r="E825" s="575"/>
      <c r="F825" s="575"/>
      <c r="G825" s="189"/>
      <c r="H825" s="36" t="s">
        <v>12</v>
      </c>
      <c r="I825" s="37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213380.47)</f>
        <v>213380.47</v>
      </c>
      <c r="J825" s="37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304209.15)</f>
        <v>304209.15000000002</v>
      </c>
      <c r="K825" s="38">
        <f t="shared" ca="1" si="379"/>
        <v>142.56653854028912</v>
      </c>
      <c r="L825" s="38"/>
      <c r="M825" s="38"/>
      <c r="N825" s="38"/>
      <c r="O825" s="38"/>
      <c r="P825" s="3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20.25" customHeight="1">
      <c r="A826" s="742"/>
      <c r="B826" s="575"/>
      <c r="C826" s="575"/>
      <c r="D826" s="574"/>
      <c r="E826" s="575"/>
      <c r="F826" s="575"/>
      <c r="G826" s="189"/>
      <c r="H826" s="36" t="s">
        <v>35</v>
      </c>
      <c r="I826" s="37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465)</f>
        <v>465</v>
      </c>
      <c r="J826" s="37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198)</f>
        <v>198</v>
      </c>
      <c r="K826" s="38">
        <f t="shared" ca="1" si="379"/>
        <v>42.58064516129032</v>
      </c>
      <c r="L826" s="38"/>
      <c r="M826" s="38"/>
      <c r="N826" s="38"/>
      <c r="O826" s="38"/>
      <c r="P826" s="3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20.25" customHeight="1">
      <c r="A827" s="742"/>
      <c r="B827" s="576" t="s">
        <v>329</v>
      </c>
      <c r="C827" s="575"/>
      <c r="D827" s="574"/>
      <c r="E827" s="575"/>
      <c r="F827" s="575"/>
      <c r="G827" s="189"/>
      <c r="H827" s="36" t="s">
        <v>12</v>
      </c>
      <c r="I827" s="37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7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10030000)</f>
        <v>10030000</v>
      </c>
      <c r="K827" s="38">
        <f t="shared" ca="1" si="379"/>
        <v>71.109535625664662</v>
      </c>
      <c r="L827" s="38"/>
      <c r="M827" s="38"/>
      <c r="N827" s="38"/>
      <c r="O827" s="38"/>
      <c r="P827" s="3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20.25" customHeight="1">
      <c r="A828" s="745"/>
      <c r="B828" s="747"/>
      <c r="C828" s="747"/>
      <c r="D828" s="746"/>
      <c r="E828" s="747"/>
      <c r="F828" s="747"/>
      <c r="G828" s="826"/>
      <c r="H828" s="827" t="s">
        <v>35</v>
      </c>
      <c r="I828" s="505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505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313)</f>
        <v>313</v>
      </c>
      <c r="K828" s="506">
        <f t="shared" ca="1" si="379"/>
        <v>57.012750455373407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546C9-8C1A-4F5D-BD61-32DAF48B6970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348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2198108</v>
      </c>
      <c r="M8" s="867">
        <f t="shared" ca="1" si="0"/>
        <v>1908242.45</v>
      </c>
      <c r="N8" s="867">
        <f t="shared" ca="1" si="0"/>
        <v>1251272.07</v>
      </c>
      <c r="O8" s="867">
        <f t="shared" ref="O8:O16" ca="1" si="1">IF(L8&gt;0,N8*100/L8,0)</f>
        <v>56.924958646253963</v>
      </c>
      <c r="P8" s="867">
        <f t="shared" ref="P8:P16" ca="1" si="2">IF(M8&gt;0,N8*100/M8,0)</f>
        <v>65.571964925106869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2198108</v>
      </c>
      <c r="M10" s="874">
        <f t="shared" ca="1" si="3"/>
        <v>1908242.45</v>
      </c>
      <c r="N10" s="874">
        <f t="shared" ca="1" si="3"/>
        <v>1251272.07</v>
      </c>
      <c r="O10" s="874">
        <f t="shared" ca="1" si="1"/>
        <v>56.924958646253963</v>
      </c>
      <c r="P10" s="874">
        <f t="shared" ca="1" si="2"/>
        <v>65.571964925106869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2084308</v>
      </c>
      <c r="M11" s="881">
        <f t="shared" ca="1" si="4"/>
        <v>1794642.45</v>
      </c>
      <c r="N11" s="881">
        <f t="shared" ca="1" si="4"/>
        <v>1137672.07</v>
      </c>
      <c r="O11" s="881">
        <f t="shared" ca="1" si="1"/>
        <v>54.58272337869451</v>
      </c>
      <c r="P11" s="881">
        <f t="shared" ca="1" si="2"/>
        <v>63.39268693883843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2084308</v>
      </c>
      <c r="M13" s="887">
        <f t="shared" ca="1" si="5"/>
        <v>1794642.45</v>
      </c>
      <c r="N13" s="887">
        <f t="shared" ca="1" si="5"/>
        <v>1137672.07</v>
      </c>
      <c r="O13" s="887">
        <f t="shared" ca="1" si="1"/>
        <v>54.58272337869451</v>
      </c>
      <c r="P13" s="887">
        <f t="shared" ca="1" si="2"/>
        <v>63.39268693883843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113800</v>
      </c>
      <c r="M14" s="881">
        <f t="shared" ca="1" si="6"/>
        <v>113600</v>
      </c>
      <c r="N14" s="881">
        <f t="shared" ca="1" si="6"/>
        <v>113600</v>
      </c>
      <c r="O14" s="881">
        <f t="shared" ca="1" si="1"/>
        <v>99.824253075571178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113800</v>
      </c>
      <c r="M16" s="893">
        <f t="shared" ca="1" si="7"/>
        <v>113600</v>
      </c>
      <c r="N16" s="893">
        <f t="shared" ca="1" si="7"/>
        <v>113600</v>
      </c>
      <c r="O16" s="893">
        <f t="shared" ca="1" si="1"/>
        <v>99.824253075571178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1847225</v>
      </c>
      <c r="M18" s="867">
        <f t="shared" ca="1" si="8"/>
        <v>1557359.45</v>
      </c>
      <c r="N18" s="867">
        <f t="shared" ca="1" si="8"/>
        <v>1118920.57</v>
      </c>
      <c r="O18" s="867">
        <f t="shared" ref="O18:O26" ca="1" si="9">IF(L18&gt;0,N18*100/L18,0)</f>
        <v>60.573052551800671</v>
      </c>
      <c r="P18" s="867">
        <f t="shared" ref="P18:P26" ca="1" si="10">IF(M18&gt;0,N18*100/M18,0)</f>
        <v>71.847290617461496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1847225</v>
      </c>
      <c r="M20" s="874">
        <f t="shared" ca="1" si="11"/>
        <v>1557359.45</v>
      </c>
      <c r="N20" s="874">
        <f t="shared" ca="1" si="11"/>
        <v>1118920.57</v>
      </c>
      <c r="O20" s="874">
        <f t="shared" ca="1" si="9"/>
        <v>60.573052551800671</v>
      </c>
      <c r="P20" s="874">
        <f t="shared" ca="1" si="10"/>
        <v>71.847290617461496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1733425</v>
      </c>
      <c r="M21" s="881">
        <f t="shared" ca="1" si="12"/>
        <v>1443759.45</v>
      </c>
      <c r="N21" s="881">
        <f t="shared" ca="1" si="12"/>
        <v>1005320.5700000001</v>
      </c>
      <c r="O21" s="881">
        <f t="shared" ca="1" si="9"/>
        <v>57.996196547297977</v>
      </c>
      <c r="P21" s="881">
        <f t="shared" ca="1" si="10"/>
        <v>69.632137819080597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1733425</v>
      </c>
      <c r="M23" s="887">
        <f t="shared" ca="1" si="13"/>
        <v>1443759.45</v>
      </c>
      <c r="N23" s="887">
        <f t="shared" ca="1" si="13"/>
        <v>1005320.5700000001</v>
      </c>
      <c r="O23" s="887">
        <f t="shared" ca="1" si="9"/>
        <v>57.996196547297977</v>
      </c>
      <c r="P23" s="887">
        <f t="shared" ca="1" si="10"/>
        <v>69.632137819080597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113800</v>
      </c>
      <c r="M24" s="881">
        <f t="shared" ca="1" si="14"/>
        <v>113600</v>
      </c>
      <c r="N24" s="881">
        <f t="shared" ca="1" si="14"/>
        <v>113600</v>
      </c>
      <c r="O24" s="881">
        <f t="shared" ca="1" si="9"/>
        <v>99.824253075571178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113800</v>
      </c>
      <c r="M26" s="893">
        <f t="shared" ca="1" si="15"/>
        <v>113600</v>
      </c>
      <c r="N26" s="893">
        <f t="shared" ca="1" si="15"/>
        <v>113600</v>
      </c>
      <c r="O26" s="893">
        <f t="shared" ca="1" si="9"/>
        <v>99.824253075571178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350883</v>
      </c>
      <c r="M28" s="867">
        <f t="shared" ca="1" si="16"/>
        <v>350883</v>
      </c>
      <c r="N28" s="867">
        <f t="shared" si="16"/>
        <v>132351.5</v>
      </c>
      <c r="O28" s="867">
        <f t="shared" ref="O28:O37" ca="1" si="17">IF(L28&gt;0,N28*100/L28,0)</f>
        <v>37.719553241393854</v>
      </c>
      <c r="P28" s="867">
        <f t="shared" ref="P28:P37" ca="1" si="18">IF(M28&gt;0,N28*100/M28,0)</f>
        <v>37.719553241393854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350883</v>
      </c>
      <c r="M30" s="874">
        <f t="shared" ca="1" si="19"/>
        <v>350883</v>
      </c>
      <c r="N30" s="874">
        <f t="shared" si="19"/>
        <v>132351.5</v>
      </c>
      <c r="O30" s="874">
        <f t="shared" ca="1" si="17"/>
        <v>37.719553241393854</v>
      </c>
      <c r="P30" s="874">
        <f t="shared" ca="1" si="18"/>
        <v>37.719553241393854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350883</v>
      </c>
      <c r="M31" s="881">
        <f t="shared" ca="1" si="20"/>
        <v>350883</v>
      </c>
      <c r="N31" s="881">
        <f t="shared" si="20"/>
        <v>132351.5</v>
      </c>
      <c r="O31" s="881">
        <f t="shared" ca="1" si="17"/>
        <v>37.719553241393854</v>
      </c>
      <c r="P31" s="881">
        <f t="shared" ca="1" si="18"/>
        <v>37.719553241393854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350883</v>
      </c>
      <c r="M33" s="887">
        <f t="shared" ca="1" si="21"/>
        <v>350883</v>
      </c>
      <c r="N33" s="887">
        <f t="shared" si="21"/>
        <v>132351.5</v>
      </c>
      <c r="O33" s="887">
        <f t="shared" ca="1" si="17"/>
        <v>37.719553241393854</v>
      </c>
      <c r="P33" s="887">
        <f t="shared" ca="1" si="18"/>
        <v>37.719553241393854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1847225</v>
      </c>
      <c r="M37" s="900">
        <f t="shared" ca="1" si="24"/>
        <v>1557359.45</v>
      </c>
      <c r="N37" s="900">
        <f t="shared" ca="1" si="24"/>
        <v>1118920.57</v>
      </c>
      <c r="O37" s="900">
        <f t="shared" ca="1" si="17"/>
        <v>60.573052551800671</v>
      </c>
      <c r="P37" s="900">
        <f t="shared" ca="1" si="18"/>
        <v>71.847290617461496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190700</v>
      </c>
      <c r="M41" s="926">
        <f t="shared" ca="1" si="25"/>
        <v>95445.45</v>
      </c>
      <c r="N41" s="926">
        <f t="shared" ca="1" si="25"/>
        <v>62294.45</v>
      </c>
      <c r="O41" s="926">
        <f t="shared" ref="O41:O49" ca="1" si="26">IF(L41&gt;0,N41*100/L41,0)</f>
        <v>32.666203460933403</v>
      </c>
      <c r="P41" s="926">
        <f t="shared" ref="P41:P49" ca="1" si="27">IF(M41&gt;0,N41*100/M41,0)</f>
        <v>65.267071400470115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190700</v>
      </c>
      <c r="M43" s="932">
        <f t="shared" ca="1" si="28"/>
        <v>95445.45</v>
      </c>
      <c r="N43" s="932">
        <f t="shared" ca="1" si="28"/>
        <v>62294.45</v>
      </c>
      <c r="O43" s="932">
        <f t="shared" ca="1" si="26"/>
        <v>32.666203460933403</v>
      </c>
      <c r="P43" s="932">
        <f t="shared" ca="1" si="27"/>
        <v>65.267071400470115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190700</v>
      </c>
      <c r="M44" s="881">
        <f t="shared" ca="1" si="29"/>
        <v>95445.45</v>
      </c>
      <c r="N44" s="881">
        <f t="shared" ca="1" si="29"/>
        <v>62294.45</v>
      </c>
      <c r="O44" s="881">
        <f t="shared" ca="1" si="26"/>
        <v>32.666203460933403</v>
      </c>
      <c r="P44" s="881">
        <f t="shared" ca="1" si="27"/>
        <v>65.267071400470115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IFERROR(__xludf.DUMMYFUNCTION("IMPORTRANGE(""https://docs.google.com/spreadsheets/d/1MeEWN-I1oV_STSDYn1IFDPWt_1FKiwhDph83XaGc0o0/edit?usp=sharing"",""งบพรบ!M83"")"),190700)</f>
        <v>190700</v>
      </c>
      <c r="M46" s="887">
        <f ca="1">IFERROR(__xludf.DUMMYFUNCTION("IMPORTRANGE(""https://docs.google.com/spreadsheets/d/1MeEWN-I1oV_STSDYn1IFDPWt_1FKiwhDph83XaGc0o0/edit?usp=sharing"",""งบพรบ!R83"")"),95445.45)</f>
        <v>95445.45</v>
      </c>
      <c r="N46" s="887">
        <f ca="1">IFERROR(__xludf.DUMMYFUNCTION("IMPORTRANGE(""https://docs.google.com/spreadsheets/d/1MeEWN-I1oV_STSDYn1IFDPWt_1FKiwhDph83XaGc0o0/edit?usp=sharing"",""งบพรบ!T83"")"),62294.45)</f>
        <v>62294.45</v>
      </c>
      <c r="O46" s="887">
        <f t="shared" ca="1" si="26"/>
        <v>32.666203460933403</v>
      </c>
      <c r="P46" s="887">
        <f t="shared" ca="1" si="27"/>
        <v>65.267071400470115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IFERROR(__xludf.DUMMYFUNCTION("IMPORTRANGE(""https://docs.google.com/spreadsheets/d/1MeEWN-I1oV_STSDYn1IFDPWt_1FKiwhDph83XaGc0o0/edit?usp=sharing"",""งบพรบ!P83"")"),0)</f>
        <v>0</v>
      </c>
      <c r="M49" s="893">
        <f ca="1">IFERROR(__xludf.DUMMYFUNCTION("IMPORTRANGE(""https://docs.google.com/spreadsheets/d/1MeEWN-I1oV_STSDYn1IFDPWt_1FKiwhDph83XaGc0o0/edit?usp=sharing"",""งบพรบ!S83"")"),0)</f>
        <v>0</v>
      </c>
      <c r="N49" s="893">
        <f ca="1">IFERROR(__xludf.DUMMYFUNCTION("IMPORTRANGE(""https://docs.google.com/spreadsheets/d/1MeEWN-I1oV_STSDYn1IFDPWt_1FKiwhDph83XaGc0o0/edit?usp=sharing"",""งบพรบ!U83"")"),0)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606700</v>
      </c>
      <c r="M53" s="956">
        <f t="shared" ca="1" si="31"/>
        <v>455025</v>
      </c>
      <c r="N53" s="956">
        <f t="shared" ca="1" si="31"/>
        <v>342757.37</v>
      </c>
      <c r="O53" s="956">
        <f t="shared" ref="O53:O61" ca="1" si="32">IF(L53&gt;0,N53*100/L53,0)</f>
        <v>56.495363441569147</v>
      </c>
      <c r="P53" s="956">
        <f t="shared" ref="P53:P61" ca="1" si="33">IF(M53&gt;0,N53*100/M53,0)</f>
        <v>75.32715125542552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606700</v>
      </c>
      <c r="M55" s="962">
        <f t="shared" ca="1" si="34"/>
        <v>455025</v>
      </c>
      <c r="N55" s="962">
        <f t="shared" ca="1" si="34"/>
        <v>342757.37</v>
      </c>
      <c r="O55" s="962">
        <f t="shared" ca="1" si="32"/>
        <v>56.495363441569147</v>
      </c>
      <c r="P55" s="962">
        <f t="shared" ca="1" si="33"/>
        <v>75.32715125542552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606700</v>
      </c>
      <c r="M56" s="881">
        <f t="shared" ca="1" si="35"/>
        <v>455025</v>
      </c>
      <c r="N56" s="881">
        <f t="shared" ca="1" si="35"/>
        <v>342757.37</v>
      </c>
      <c r="O56" s="881">
        <f t="shared" ca="1" si="32"/>
        <v>56.495363441569147</v>
      </c>
      <c r="P56" s="881">
        <f t="shared" ca="1" si="33"/>
        <v>75.32715125542552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IFERROR(__xludf.DUMMYFUNCTION("IMPORTRANGE(""https://docs.google.com/spreadsheets/d/1MeEWN-I1oV_STSDYn1IFDPWt_1FKiwhDph83XaGc0o0/edit?usp=sharing"",""งบพรบ!W83"")"),606700)</f>
        <v>606700</v>
      </c>
      <c r="M58" s="887">
        <f ca="1">IFERROR(__xludf.DUMMYFUNCTION("IMPORTRANGE(""https://docs.google.com/spreadsheets/d/1MeEWN-I1oV_STSDYn1IFDPWt_1FKiwhDph83XaGc0o0/edit?usp=sharing"",""งบพรบ!AB83"")"),455025)</f>
        <v>455025</v>
      </c>
      <c r="N58" s="887">
        <f ca="1">IFERROR(__xludf.DUMMYFUNCTION("IMPORTRANGE(""https://docs.google.com/spreadsheets/d/1MeEWN-I1oV_STSDYn1IFDPWt_1FKiwhDph83XaGc0o0/edit?usp=sharing"",""งบพรบ!AD83"")"),342757.37)</f>
        <v>342757.37</v>
      </c>
      <c r="O58" s="887">
        <f t="shared" ca="1" si="32"/>
        <v>56.495363441569147</v>
      </c>
      <c r="P58" s="887">
        <f t="shared" ca="1" si="33"/>
        <v>75.32715125542552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0</v>
      </c>
      <c r="M59" s="881">
        <f t="shared" ca="1" si="36"/>
        <v>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IFERROR(__xludf.DUMMYFUNCTION("IMPORTRANGE(""https://docs.google.com/spreadsheets/d/1MeEWN-I1oV_STSDYn1IFDPWt_1FKiwhDph83XaGc0o0/edit?usp=sharing"",""งบพรบ!Z83"")"),0)</f>
        <v>0</v>
      </c>
      <c r="M61" s="893">
        <f ca="1">IFERROR(__xludf.DUMMYFUNCTION("IMPORTRANGE(""https://docs.google.com/spreadsheets/d/1MeEWN-I1oV_STSDYn1IFDPWt_1FKiwhDph83XaGc0o0/edit?usp=sharing"",""งบพรบ!AC83"")"),0)</f>
        <v>0</v>
      </c>
      <c r="N61" s="893">
        <f ca="1">IFERROR(__xludf.DUMMYFUNCTION("IMPORTRANGE(""https://docs.google.com/spreadsheets/d/1MeEWN-I1oV_STSDYn1IFDPWt_1FKiwhDph83XaGc0o0/edit?usp=sharing"",""งบพรบ!AE83"")"),0)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IFERROR(__xludf.DUMMYFUNCTION("IMPORTRANGE(""https://docs.google.com/spreadsheets/d/1MeEWN-I1oV_STSDYn1IFDPWt_1FKiwhDph83XaGc0o0/edit?usp=sharing"",""งบพรบ!AG83"")"),0)</f>
        <v>0</v>
      </c>
      <c r="M71" s="887">
        <f ca="1">IFERROR(__xludf.DUMMYFUNCTION("IMPORTRANGE(""https://docs.google.com/spreadsheets/d/1MeEWN-I1oV_STSDYn1IFDPWt_1FKiwhDph83XaGc0o0/edit?usp=sharing"",""งบพรบ!AL83"")"),0)</f>
        <v>0</v>
      </c>
      <c r="N71" s="887">
        <f ca="1">IFERROR(__xludf.DUMMYFUNCTION("IMPORTRANGE(""https://docs.google.com/spreadsheets/d/1MeEWN-I1oV_STSDYn1IFDPWt_1FKiwhDph83XaGc0o0/edit?usp=sharing"",""งบพรบ!AN83"")"),0)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IFERROR(__xludf.DUMMYFUNCTION("IMPORTRANGE(""https://docs.google.com/spreadsheets/d/1MeEWN-I1oV_STSDYn1IFDPWt_1FKiwhDph83XaGc0o0/edit?usp=sharing"",""งบพรบ!AJ83"")"),0)</f>
        <v>0</v>
      </c>
      <c r="M74" s="887">
        <f ca="1">IFERROR(__xludf.DUMMYFUNCTION("IMPORTRANGE(""https://docs.google.com/spreadsheets/d/1MeEWN-I1oV_STSDYn1IFDPWt_1FKiwhDph83XaGc0o0/edit?usp=sharing"",""งบพรบ!AM83"")"),0)</f>
        <v>0</v>
      </c>
      <c r="N74" s="887">
        <f ca="1">IFERROR(__xludf.DUMMYFUNCTION("IMPORTRANGE(""https://docs.google.com/spreadsheets/d/1MeEWN-I1oV_STSDYn1IFDPWt_1FKiwhDph83XaGc0o0/edit?usp=sharing"",""งบพรบ!AO83"")"),0)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IFERROR(__xludf.DUMMYFUNCTION("IMPORTRANGE(""https://docs.google.com/spreadsheets/d/1QqKyyYR6Q21VydFLVH3TRQUabQu_ym0Zz7PgGX0-kHA/edit?usp=sharing"",""แผน!H83"")"),0)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IFERROR(__xludf.DUMMYFUNCTION("IMPORTRANGE(""https://docs.google.com/spreadsheets/d/1QqKyyYR6Q21VydFLVH3TRQUabQu_ym0Zz7PgGX0-kHA/edit?usp=sharing"",""แผน!I83"")"),0)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IFERROR(__xludf.DUMMYFUNCTION("IMPORTRANGE(""https://docs.google.com/spreadsheets/d/1QqKyyYR6Q21VydFLVH3TRQUabQu_ym0Zz7PgGX0-kHA/edit?usp=sharing"",""แผน!F83"")"),0)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IFERROR(__xludf.DUMMYFUNCTION("IMPORTRANGE(""https://docs.google.com/spreadsheets/d/1QqKyyYR6Q21VydFLVH3TRQUabQu_ym0Zz7PgGX0-kHA/edit?usp=sharing"",""แผน!G83"")"),0)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IFERROR(__xludf.DUMMYFUNCTION("IMPORTRANGE(""https://docs.google.com/spreadsheets/d/1QqKyyYR6Q21VydFLVH3TRQUabQu_ym0Zz7PgGX0-kHA/edit?usp=sharing"",""แผน!D83"")"),0)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IFERROR(__xludf.DUMMYFUNCTION("IMPORTRANGE(""https://docs.google.com/spreadsheets/d/1QqKyyYR6Q21VydFLVH3TRQUabQu_ym0Zz7PgGX0-kHA/edit?usp=sharing"",""แผน!E83"")"),0)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IFERROR(__xludf.DUMMYFUNCTION("IMPORTRANGE(""https://docs.google.com/spreadsheets/d/1QqKyyYR6Q21VydFLVH3TRQUabQu_ym0Zz7PgGX0-kHA/edit?usp=sharing"",""แผน!J83"")"),0)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0</v>
      </c>
      <c r="J86" s="982">
        <f t="shared" si="47"/>
        <v>0</v>
      </c>
      <c r="K86" s="983">
        <f t="shared" ref="K86:K87" ca="1" si="48">IF(I86&gt;0,J86*100/I86,0)</f>
        <v>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0</v>
      </c>
      <c r="J87" s="982">
        <f t="shared" si="47"/>
        <v>0</v>
      </c>
      <c r="K87" s="983">
        <f t="shared" ca="1" si="48"/>
        <v>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319000</v>
      </c>
      <c r="M88" s="992">
        <f t="shared" ca="1" si="49"/>
        <v>241950</v>
      </c>
      <c r="N88" s="992">
        <f t="shared" ca="1" si="49"/>
        <v>212918.49</v>
      </c>
      <c r="O88" s="992">
        <f t="shared" ref="O88:O96" ca="1" si="50">IF(L88&gt;0,N88*100/L88,0)</f>
        <v>66.745608150470218</v>
      </c>
      <c r="P88" s="992">
        <f t="shared" ref="P88:P96" ca="1" si="51">IF(M88&gt;0,N88*100/M88,0)</f>
        <v>88.00102913825171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319000</v>
      </c>
      <c r="M90" s="887">
        <f t="shared" ca="1" si="52"/>
        <v>241950</v>
      </c>
      <c r="N90" s="887">
        <f t="shared" ca="1" si="52"/>
        <v>212918.49</v>
      </c>
      <c r="O90" s="887">
        <f t="shared" ca="1" si="50"/>
        <v>66.745608150470218</v>
      </c>
      <c r="P90" s="887">
        <f t="shared" ca="1" si="51"/>
        <v>88.00102913825171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319000</v>
      </c>
      <c r="M91" s="881">
        <f t="shared" ca="1" si="53"/>
        <v>241950</v>
      </c>
      <c r="N91" s="881">
        <f t="shared" ca="1" si="53"/>
        <v>212918.49</v>
      </c>
      <c r="O91" s="881">
        <f t="shared" ca="1" si="50"/>
        <v>66.745608150470218</v>
      </c>
      <c r="P91" s="881">
        <f t="shared" ca="1" si="51"/>
        <v>88.00102913825171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IFERROR(__xludf.DUMMYFUNCTION("IMPORTRANGE(""https://docs.google.com/spreadsheets/d/1MeEWN-I1oV_STSDYn1IFDPWt_1FKiwhDph83XaGc0o0/edit?usp=sharing"",""งบพรบ!AQ83"")"),319000)</f>
        <v>319000</v>
      </c>
      <c r="M93" s="887">
        <f ca="1">IFERROR(__xludf.DUMMYFUNCTION("IMPORTRANGE(""https://docs.google.com/spreadsheets/d/1MeEWN-I1oV_STSDYn1IFDPWt_1FKiwhDph83XaGc0o0/edit?usp=sharing"",""งบพรบ!AV83"")"),241950)</f>
        <v>241950</v>
      </c>
      <c r="N93" s="887">
        <f ca="1">IFERROR(__xludf.DUMMYFUNCTION("IMPORTRANGE(""https://docs.google.com/spreadsheets/d/1MeEWN-I1oV_STSDYn1IFDPWt_1FKiwhDph83XaGc0o0/edit?usp=sharing"",""งบพรบ!AX83"")"),212918.49)</f>
        <v>212918.49</v>
      </c>
      <c r="O93" s="887">
        <f t="shared" ca="1" si="50"/>
        <v>66.745608150470218</v>
      </c>
      <c r="P93" s="887">
        <f t="shared" ca="1" si="51"/>
        <v>88.00102913825171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IFERROR(__xludf.DUMMYFUNCTION("IMPORTRANGE(""https://docs.google.com/spreadsheets/d/1MeEWN-I1oV_STSDYn1IFDPWt_1FKiwhDph83XaGc0o0/edit?usp=sharing"",""งบพรบ!AT83"")"),0)</f>
        <v>0</v>
      </c>
      <c r="M96" s="887">
        <f ca="1">IFERROR(__xludf.DUMMYFUNCTION("IMPORTRANGE(""https://docs.google.com/spreadsheets/d/1MeEWN-I1oV_STSDYn1IFDPWt_1FKiwhDph83XaGc0o0/edit?usp=sharing"",""งบพรบ!AW83"")"),0)</f>
        <v>0</v>
      </c>
      <c r="N96" s="887">
        <f ca="1">IFERROR(__xludf.DUMMYFUNCTION("IMPORTRANGE(""https://docs.google.com/spreadsheets/d/1MeEWN-I1oV_STSDYn1IFDPWt_1FKiwhDph83XaGc0o0/edit?usp=sharing"",""งบพรบ!AY83"")"),0)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IFERROR(__xludf.DUMMYFUNCTION("IMPORTRANGE(""https://docs.google.com/spreadsheets/d/1QqKyyYR6Q21VydFLVH3TRQUabQu_ym0Zz7PgGX0-kHA/edit?usp=sharing"",""แผน!K83"")"),0)</f>
        <v>0</v>
      </c>
      <c r="J98" s="880">
        <f>J102</f>
        <v>0</v>
      </c>
      <c r="K98" s="881">
        <f t="shared" ref="K98:K100" ca="1" si="55">IF(I98&gt;0,J98*100/I98,0)</f>
        <v>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IFERROR(__xludf.DUMMYFUNCTION("IMPORTRANGE(""https://docs.google.com/spreadsheets/d/1QqKyyYR6Q21VydFLVH3TRQUabQu_ym0Zz7PgGX0-kHA/edit?usp=sharing"",""แผน!L83"")"),0)</f>
        <v>0</v>
      </c>
      <c r="J99" s="880">
        <f>J104</f>
        <v>0</v>
      </c>
      <c r="K99" s="881">
        <f t="shared" ca="1" si="55"/>
        <v>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IFERROR(__xludf.DUMMYFUNCTION("IMPORTRANGE(""https://docs.google.com/spreadsheets/d/1QqKyyYR6Q21VydFLVH3TRQUabQu_ym0Zz7PgGX0-kHA/edit?usp=sharing"",""แผน!M83"")"),1)</f>
        <v>1</v>
      </c>
      <c r="J100" s="880">
        <f>J107+J110</f>
        <v>1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IFERROR(__xludf.DUMMYFUNCTION("IMPORTRANGE(""https://docs.google.com/spreadsheets/d/1QqKyyYR6Q21VydFLVH3TRQUabQu_ym0Zz7PgGX0-kHA/edit?usp=sharing"",""แผน!N83"")"),0)</f>
        <v>0</v>
      </c>
      <c r="J102" s="1012">
        <v>0</v>
      </c>
      <c r="K102" s="881">
        <f t="shared" ref="K102:K104" ca="1" si="56">IF(I102&gt;0,J102*100/I102,0)</f>
        <v>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IFERROR(__xludf.DUMMYFUNCTION("IMPORTRANGE(""https://docs.google.com/spreadsheets/d/1QqKyyYR6Q21VydFLVH3TRQUabQu_ym0Zz7PgGX0-kHA/edit?usp=sharing"",""แผน!O83"")"),0)</f>
        <v>0</v>
      </c>
      <c r="J103" s="1012">
        <v>0</v>
      </c>
      <c r="K103" s="881">
        <f t="shared" ca="1" si="56"/>
        <v>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IFERROR(__xludf.DUMMYFUNCTION("IMPORTRANGE(""https://docs.google.com/spreadsheets/d/1QqKyyYR6Q21VydFLVH3TRQUabQu_ym0Zz7PgGX0-kHA/edit?usp=sharing"",""แผน!O83"")"),0)</f>
        <v>0</v>
      </c>
      <c r="J104" s="1012">
        <v>0</v>
      </c>
      <c r="K104" s="881">
        <f t="shared" ca="1" si="56"/>
        <v>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IFERROR(__xludf.DUMMYFUNCTION("IMPORTRANGE(""https://docs.google.com/spreadsheets/d/1QqKyyYR6Q21VydFLVH3TRQUabQu_ym0Zz7PgGX0-kHA/edit?usp=sharing"",""แผน!P83"")"),0)</f>
        <v>0</v>
      </c>
      <c r="J106" s="1012">
        <v>0</v>
      </c>
      <c r="K106" s="881">
        <f t="shared" ref="K106:K107" ca="1" si="57">IF(I106&gt;0,J106*100/I106,0)</f>
        <v>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IFERROR(__xludf.DUMMYFUNCTION("IMPORTRANGE(""https://docs.google.com/spreadsheets/d/1QqKyyYR6Q21VydFLVH3TRQUabQu_ym0Zz7PgGX0-kHA/edit?usp=sharing"",""แผน!P83"")"),0)</f>
        <v>0</v>
      </c>
      <c r="J107" s="1012">
        <v>0</v>
      </c>
      <c r="K107" s="881">
        <f t="shared" ca="1" si="57"/>
        <v>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IFERROR(__xludf.DUMMYFUNCTION("IMPORTRANGE(""https://docs.google.com/spreadsheets/d/1QqKyyYR6Q21VydFLVH3TRQUabQu_ym0Zz7PgGX0-kHA/edit?usp=sharing"",""แผน!Q83"")"),1)</f>
        <v>1</v>
      </c>
      <c r="J109" s="1012">
        <v>1</v>
      </c>
      <c r="K109" s="881">
        <f t="shared" ref="K109:K116" ca="1" si="58">IF(I109&gt;0,J109*100/I109,0)</f>
        <v>100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IFERROR(__xludf.DUMMYFUNCTION("IMPORTRANGE(""https://docs.google.com/spreadsheets/d/1QqKyyYR6Q21VydFLVH3TRQUabQu_ym0Zz7PgGX0-kHA/edit?usp=sharing"",""แผน!Q83"")"),1)</f>
        <v>1</v>
      </c>
      <c r="J110" s="1012">
        <v>1</v>
      </c>
      <c r="K110" s="881">
        <f t="shared" ca="1" si="58"/>
        <v>100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IFERROR(__xludf.DUMMYFUNCTION("IMPORTRANGE(""https://docs.google.com/spreadsheets/d/1QqKyyYR6Q21VydFLVH3TRQUabQu_ym0Zz7PgGX0-kHA/edit?usp=sharing"",""แผน!R83"")"),0)</f>
        <v>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1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IFERROR(__xludf.DUMMYFUNCTION("IMPORTRANGE(""https://docs.google.com/spreadsheets/d/1QqKyyYR6Q21VydFLVH3TRQUabQu_ym0Zz7PgGX0-kHA/edit?usp=sharing"",""แผน!R83"")"),0)</f>
        <v>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IFERROR(__xludf.DUMMYFUNCTION("IMPORTRANGE(""https://docs.google.com/spreadsheets/d/1QqKyyYR6Q21VydFLVH3TRQUabQu_ym0Zz7PgGX0-kHA/edit?usp=sharing"",""แผน!R83"")"),0)</f>
        <v>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IFERROR(__xludf.DUMMYFUNCTION("IMPORTRANGE(""https://docs.google.com/spreadsheets/d/1QqKyyYR6Q21VydFLVH3TRQUabQu_ym0Zz7PgGX0-kHA/edit?usp=sharing"",""แผน!S83"")"),0)</f>
        <v>0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IFERROR(__xludf.DUMMYFUNCTION("IMPORTRANGE(""https://docs.google.com/spreadsheets/d/1QqKyyYR6Q21VydFLVH3TRQUabQu_ym0Zz7PgGX0-kHA/edit?usp=sharing"",""แผน!T83"")"),1)</f>
        <v>1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>
        <v>0</v>
      </c>
      <c r="J118" s="1027">
        <v>0</v>
      </c>
      <c r="K118" s="984">
        <v>0</v>
      </c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IFERROR(__xludf.DUMMYFUNCTION("IMPORTRANGE(""https://docs.google.com/spreadsheets/d/1MeEWN-I1oV_STSDYn1IFDPWt_1FKiwhDph83XaGc0o0/edit?usp=sharing"",""งบพรบ!BA83"")"),0)</f>
        <v>0</v>
      </c>
      <c r="M124" s="887">
        <f ca="1">IFERROR(__xludf.DUMMYFUNCTION("IMPORTRANGE(""https://docs.google.com/spreadsheets/d/1MeEWN-I1oV_STSDYn1IFDPWt_1FKiwhDph83XaGc0o0/edit?usp=sharing"",""งบพรบ!BF83"")"),0)</f>
        <v>0</v>
      </c>
      <c r="N124" s="887">
        <f ca="1">IFERROR(__xludf.DUMMYFUNCTION("IMPORTRANGE(""https://docs.google.com/spreadsheets/d/1MeEWN-I1oV_STSDYn1IFDPWt_1FKiwhDph83XaGc0o0/edit?usp=sharing"",""งบพรบ!BH83"")"),0)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IFERROR(__xludf.DUMMYFUNCTION("IMPORTRANGE(""https://docs.google.com/spreadsheets/d/1MeEWN-I1oV_STSDYn1IFDPWt_1FKiwhDph83XaGc0o0/edit?usp=sharing"",""งบพรบ!BD83"")"),0)</f>
        <v>0</v>
      </c>
      <c r="M127" s="887">
        <f ca="1">IFERROR(__xludf.DUMMYFUNCTION("IMPORTRANGE(""https://docs.google.com/spreadsheets/d/1MeEWN-I1oV_STSDYn1IFDPWt_1FKiwhDph83XaGc0o0/edit?usp=sharing"",""งบพรบ!BG83"")"),0)</f>
        <v>0</v>
      </c>
      <c r="N127" s="887">
        <f ca="1">IFERROR(__xludf.DUMMYFUNCTION("IMPORTRANGE(""https://docs.google.com/spreadsheets/d/1MeEWN-I1oV_STSDYn1IFDPWt_1FKiwhDph83XaGc0o0/edit?usp=sharing"",""งบพรบ!BI83"")"),0)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IFERROR(__xludf.DUMMYFUNCTION("IMPORTRANGE(""https://docs.google.com/spreadsheets/d/1MeEWN-I1oV_STSDYn1IFDPWt_1FKiwhDph83XaGc0o0/edit?usp=sharing"",""งบพรบ!BK83"")"),0)</f>
        <v>0</v>
      </c>
      <c r="M137" s="887">
        <f ca="1">IFERROR(__xludf.DUMMYFUNCTION("IMPORTRANGE(""https://docs.google.com/spreadsheets/d/1MeEWN-I1oV_STSDYn1IFDPWt_1FKiwhDph83XaGc0o0/edit?usp=sharing"",""งบพรบ!BP83"")"),0)</f>
        <v>0</v>
      </c>
      <c r="N137" s="887">
        <f ca="1">IFERROR(__xludf.DUMMYFUNCTION("IMPORTRANGE(""https://docs.google.com/spreadsheets/d/1MeEWN-I1oV_STSDYn1IFDPWt_1FKiwhDph83XaGc0o0/edit?usp=sharing"",""งบพรบ!BR83"")"),0)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IFERROR(__xludf.DUMMYFUNCTION("IMPORTRANGE(""https://docs.google.com/spreadsheets/d/1MeEWN-I1oV_STSDYn1IFDPWt_1FKiwhDph83XaGc0o0/edit?usp=sharing"",""งบพรบ!BN83"")"),0)</f>
        <v>0</v>
      </c>
      <c r="M140" s="887">
        <f ca="1">IFERROR(__xludf.DUMMYFUNCTION("IMPORTRANGE(""https://docs.google.com/spreadsheets/d/1MeEWN-I1oV_STSDYn1IFDPWt_1FKiwhDph83XaGc0o0/edit?usp=sharing"",""งบพรบ!BQ83"")"),0)</f>
        <v>0</v>
      </c>
      <c r="N140" s="887">
        <f ca="1">IFERROR(__xludf.DUMMYFUNCTION("IMPORTRANGE(""https://docs.google.com/spreadsheets/d/1MeEWN-I1oV_STSDYn1IFDPWt_1FKiwhDph83XaGc0o0/edit?usp=sharing"",""งบพรบ!BS83"")"),0)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IFERROR(__xludf.DUMMYFUNCTION("IMPORTRANGE(""https://docs.google.com/spreadsheets/d/1QqKyyYR6Q21VydFLVH3TRQUabQu_ym0Zz7PgGX0-kHA/edit?usp=sharing"",""แผน!U83"")"),0)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IFERROR(__xludf.DUMMYFUNCTION("IMPORTRANGE(""https://docs.google.com/spreadsheets/d/1QqKyyYR6Q21VydFLVH3TRQUabQu_ym0Zz7PgGX0-kHA/edit?usp=sharing"",""แผน!V83"")"),0)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IFERROR(__xludf.DUMMYFUNCTION("IMPORTRANGE(""https://docs.google.com/spreadsheets/d/1QqKyyYR6Q21VydFLVH3TRQUabQu_ym0Zz7PgGX0-kHA/edit?usp=sharing"",""แผน!W83"")"),0)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IFERROR(__xludf.DUMMYFUNCTION("IMPORTRANGE(""https://docs.google.com/spreadsheets/d/1MeEWN-I1oV_STSDYn1IFDPWt_1FKiwhDph83XaGc0o0/edit?usp=sharing"",""งบพรบ!BU83"")"),0)</f>
        <v>0</v>
      </c>
      <c r="M154" s="887">
        <f ca="1">IFERROR(__xludf.DUMMYFUNCTION("IMPORTRANGE(""https://docs.google.com/spreadsheets/d/1MeEWN-I1oV_STSDYn1IFDPWt_1FKiwhDph83XaGc0o0/edit?usp=sharing"",""งบพรบ!BZ83"")"),0)</f>
        <v>0</v>
      </c>
      <c r="N154" s="887">
        <f ca="1">IFERROR(__xludf.DUMMYFUNCTION("IMPORTRANGE(""https://docs.google.com/spreadsheets/d/1MeEWN-I1oV_STSDYn1IFDPWt_1FKiwhDph83XaGc0o0/edit?usp=sharing"",""งบพรบ!CB83"")"),0)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IFERROR(__xludf.DUMMYFUNCTION("IMPORTRANGE(""https://docs.google.com/spreadsheets/d/1MeEWN-I1oV_STSDYn1IFDPWt_1FKiwhDph83XaGc0o0/edit?usp=sharing"",""งบพรบ!BX83"")"),0)</f>
        <v>0</v>
      </c>
      <c r="M157" s="887">
        <f ca="1">IFERROR(__xludf.DUMMYFUNCTION("IMPORTRANGE(""https://docs.google.com/spreadsheets/d/1MeEWN-I1oV_STSDYn1IFDPWt_1FKiwhDph83XaGc0o0/edit?usp=sharing"",""งบพรบ!CA83"")"),0)</f>
        <v>0</v>
      </c>
      <c r="N157" s="887">
        <f ca="1">IFERROR(__xludf.DUMMYFUNCTION("IMPORTRANGE(""https://docs.google.com/spreadsheets/d/1MeEWN-I1oV_STSDYn1IFDPWt_1FKiwhDph83XaGc0o0/edit?usp=sharing"",""งบพรบ!CC83"")"),0)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IFERROR(__xludf.DUMMYFUNCTION("IMPORTRANGE(""https://docs.google.com/spreadsheets/d/1QqKyyYR6Q21VydFLVH3TRQUabQu_ym0Zz7PgGX0-kHA/edit?usp=sharing"",""แผน!X83"")"),0)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13</v>
      </c>
      <c r="J164" s="1075">
        <f t="shared" si="83"/>
        <v>13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24065</v>
      </c>
      <c r="M165" s="992">
        <f t="shared" ca="1" si="84"/>
        <v>41535</v>
      </c>
      <c r="N165" s="992">
        <f t="shared" ca="1" si="84"/>
        <v>41535</v>
      </c>
      <c r="O165" s="992">
        <f t="shared" ref="O165:O173" ca="1" si="85">IF(L165&gt;0,N165*100/L165,0)</f>
        <v>172.59505505921462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24065</v>
      </c>
      <c r="M167" s="887">
        <f t="shared" ca="1" si="87"/>
        <v>41535</v>
      </c>
      <c r="N167" s="887">
        <f t="shared" ca="1" si="87"/>
        <v>41535</v>
      </c>
      <c r="O167" s="887">
        <f t="shared" ca="1" si="85"/>
        <v>172.59505505921462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24065</v>
      </c>
      <c r="M168" s="881">
        <f t="shared" ca="1" si="88"/>
        <v>41535</v>
      </c>
      <c r="N168" s="881">
        <f t="shared" ca="1" si="88"/>
        <v>41535</v>
      </c>
      <c r="O168" s="881">
        <f t="shared" ca="1" si="85"/>
        <v>172.59505505921462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IFERROR(__xludf.DUMMYFUNCTION("IMPORTRANGE(""https://docs.google.com/spreadsheets/d/1MeEWN-I1oV_STSDYn1IFDPWt_1FKiwhDph83XaGc0o0/edit?usp=sharing"",""งบพรบ!CE83"")"),24065)</f>
        <v>24065</v>
      </c>
      <c r="M170" s="887">
        <f ca="1">IFERROR(__xludf.DUMMYFUNCTION("IMPORTRANGE(""https://docs.google.com/spreadsheets/d/1MeEWN-I1oV_STSDYn1IFDPWt_1FKiwhDph83XaGc0o0/edit?usp=sharing"",""งบพรบ!CJ83"")"),41535)</f>
        <v>41535</v>
      </c>
      <c r="N170" s="887">
        <f ca="1">IFERROR(__xludf.DUMMYFUNCTION("IMPORTRANGE(""https://docs.google.com/spreadsheets/d/1MeEWN-I1oV_STSDYn1IFDPWt_1FKiwhDph83XaGc0o0/edit?usp=sharing"",""งบพรบ!CL83"")"),41535)</f>
        <v>41535</v>
      </c>
      <c r="O170" s="887">
        <f t="shared" ca="1" si="85"/>
        <v>172.59505505921462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IFERROR(__xludf.DUMMYFUNCTION("IMPORTRANGE(""https://docs.google.com/spreadsheets/d/1MeEWN-I1oV_STSDYn1IFDPWt_1FKiwhDph83XaGc0o0/edit?usp=sharing"",""งบพรบ!CH83"")"),0)</f>
        <v>0</v>
      </c>
      <c r="M173" s="887">
        <f ca="1">IFERROR(__xludf.DUMMYFUNCTION("IMPORTRANGE(""https://docs.google.com/spreadsheets/d/1MeEWN-I1oV_STSDYn1IFDPWt_1FKiwhDph83XaGc0o0/edit?usp=sharing"",""งบพรบ!CK83"")"),0)</f>
        <v>0</v>
      </c>
      <c r="N173" s="887">
        <f ca="1">IFERROR(__xludf.DUMMYFUNCTION("IMPORTRANGE(""https://docs.google.com/spreadsheets/d/1MeEWN-I1oV_STSDYn1IFDPWt_1FKiwhDph83XaGc0o0/edit?usp=sharing"",""งบพรบ!CM83"")"),0)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13</v>
      </c>
      <c r="J174" s="1067">
        <f t="shared" si="90"/>
        <v>13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IFERROR(__xludf.DUMMYFUNCTION("IMPORTRANGE(""https://docs.google.com/spreadsheets/d/1QqKyyYR6Q21VydFLVH3TRQUabQu_ym0Zz7PgGX0-kHA/edit?usp=sharing"",""แผน!Y83"")"),13)</f>
        <v>13</v>
      </c>
      <c r="J176" s="1012">
        <v>13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6000</v>
      </c>
      <c r="M181" s="992">
        <f t="shared" ca="1" si="92"/>
        <v>4500</v>
      </c>
      <c r="N181" s="992">
        <f t="shared" ca="1" si="92"/>
        <v>1624</v>
      </c>
      <c r="O181" s="992">
        <f t="shared" ref="O181:O189" ca="1" si="93">IF(L181&gt;0,N181*100/L181,0)</f>
        <v>27.066666666666666</v>
      </c>
      <c r="P181" s="992">
        <f t="shared" ref="P181:P189" ca="1" si="94">IF(M181&gt;0,N181*100/M181,0)</f>
        <v>36.088888888888889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6000</v>
      </c>
      <c r="M183" s="887">
        <f t="shared" ca="1" si="95"/>
        <v>4500</v>
      </c>
      <c r="N183" s="887">
        <f t="shared" ca="1" si="95"/>
        <v>1624</v>
      </c>
      <c r="O183" s="887">
        <f t="shared" ca="1" si="93"/>
        <v>27.066666666666666</v>
      </c>
      <c r="P183" s="887">
        <f t="shared" ca="1" si="94"/>
        <v>36.088888888888889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6000</v>
      </c>
      <c r="M184" s="881">
        <f t="shared" ca="1" si="96"/>
        <v>4500</v>
      </c>
      <c r="N184" s="881">
        <f t="shared" ca="1" si="96"/>
        <v>1624</v>
      </c>
      <c r="O184" s="881">
        <f t="shared" ca="1" si="93"/>
        <v>27.066666666666666</v>
      </c>
      <c r="P184" s="881">
        <f t="shared" ca="1" si="94"/>
        <v>36.088888888888889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IFERROR(__xludf.DUMMYFUNCTION("IMPORTRANGE(""https://docs.google.com/spreadsheets/d/1MeEWN-I1oV_STSDYn1IFDPWt_1FKiwhDph83XaGc0o0/edit?usp=sharing"",""งบพรบ!CO83"")"),6000)</f>
        <v>6000</v>
      </c>
      <c r="M186" s="887">
        <f ca="1">IFERROR(__xludf.DUMMYFUNCTION("IMPORTRANGE(""https://docs.google.com/spreadsheets/d/1MeEWN-I1oV_STSDYn1IFDPWt_1FKiwhDph83XaGc0o0/edit?usp=sharing"",""งบพรบ!CT83"")"),4500)</f>
        <v>4500</v>
      </c>
      <c r="N186" s="887">
        <f ca="1">IFERROR(__xludf.DUMMYFUNCTION("IMPORTRANGE(""https://docs.google.com/spreadsheets/d/1MeEWN-I1oV_STSDYn1IFDPWt_1FKiwhDph83XaGc0o0/edit?usp=sharing"",""งบพรบ!CV83"")"),1624)</f>
        <v>1624</v>
      </c>
      <c r="O186" s="887">
        <f t="shared" ca="1" si="93"/>
        <v>27.066666666666666</v>
      </c>
      <c r="P186" s="887">
        <f t="shared" ca="1" si="94"/>
        <v>36.088888888888889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IFERROR(__xludf.DUMMYFUNCTION("IMPORTRANGE(""https://docs.google.com/spreadsheets/d/1MeEWN-I1oV_STSDYn1IFDPWt_1FKiwhDph83XaGc0o0/edit?usp=sharing"",""งบพรบ!CR83"")"),0)</f>
        <v>0</v>
      </c>
      <c r="M189" s="887">
        <f ca="1">IFERROR(__xludf.DUMMYFUNCTION("IMPORTRANGE(""https://docs.google.com/spreadsheets/d/1MeEWN-I1oV_STSDYn1IFDPWt_1FKiwhDph83XaGc0o0/edit?usp=sharing"",""งบพรบ!CU83"")"),0)</f>
        <v>0</v>
      </c>
      <c r="N189" s="887">
        <f ca="1">IFERROR(__xludf.DUMMYFUNCTION("IMPORTRANGE(""https://docs.google.com/spreadsheets/d/1MeEWN-I1oV_STSDYn1IFDPWt_1FKiwhDph83XaGc0o0/edit?usp=sharing"",""งบพรบ!CW83"")"),0)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IFERROR(__xludf.DUMMYFUNCTION("IMPORTRANGE(""https://docs.google.com/spreadsheets/d/1QqKyyYR6Q21VydFLVH3TRQUabQu_ym0Zz7PgGX0-kHA/edit?usp=sharing"",""แผน!Z83"")"),6000)</f>
        <v>6000</v>
      </c>
      <c r="M191" s="992"/>
      <c r="N191" s="1081">
        <v>1624</v>
      </c>
      <c r="O191" s="992">
        <f ca="1">IF(L191&gt;0,N191*100/L191,0)</f>
        <v>27.066666666666666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IFERROR(__xludf.DUMMYFUNCTION("IMPORTRANGE(""https://docs.google.com/spreadsheets/d/1QqKyyYR6Q21VydFLVH3TRQUabQu_ym0Zz7PgGX0-kHA/edit?usp=sharing"",""แผน!AC83"")"),4)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79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79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 hidden="1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0</v>
      </c>
      <c r="J197" s="1078">
        <f t="shared" si="99"/>
        <v>0</v>
      </c>
      <c r="K197" s="1079">
        <f ca="1">IF(I197&gt;0,J197*100/I197,0)</f>
        <v>0</v>
      </c>
      <c r="L197" s="1068"/>
      <c r="M197" s="1068"/>
      <c r="N197" s="1068"/>
      <c r="O197" s="1068"/>
      <c r="P197" s="1068"/>
    </row>
    <row r="198" spans="1:26" ht="19.5" hidden="1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0</v>
      </c>
      <c r="M198" s="992"/>
      <c r="N198" s="992">
        <f>N199+N200+N201+N202</f>
        <v>0</v>
      </c>
      <c r="O198" s="992">
        <f ca="1">IF(L198&gt;0,N198*100/L198,0)</f>
        <v>0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 hidden="1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IFERROR(__xludf.DUMMYFUNCTION("IMPORTRANGE(""https://docs.google.com/spreadsheets/d/1QqKyyYR6Q21VydFLVH3TRQUabQu_ym0Zz7PgGX0-kHA/edit?usp=sharing"",""แผน!AE83"")"),0)</f>
        <v>0</v>
      </c>
      <c r="M199" s="881"/>
      <c r="N199" s="1085">
        <v>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 hidden="1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IFERROR(__xludf.DUMMYFUNCTION("IMPORTRANGE(""https://docs.google.com/spreadsheets/d/1QqKyyYR6Q21VydFLVH3TRQUabQu_ym0Zz7PgGX0-kHA/edit?usp=sharing"",""แผน!AF83"")"),0)</f>
        <v>0</v>
      </c>
      <c r="M200" s="881"/>
      <c r="N200" s="1085">
        <v>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 hidden="1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IFERROR(__xludf.DUMMYFUNCTION("IMPORTRANGE(""https://docs.google.com/spreadsheets/d/1QqKyyYR6Q21VydFLVH3TRQUabQu_ym0Zz7PgGX0-kHA/edit?usp=sharing"",""แผน!AG83"")"),0)</f>
        <v>0</v>
      </c>
      <c r="M201" s="881"/>
      <c r="N201" s="1085">
        <v>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 hidden="1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IFERROR(__xludf.DUMMYFUNCTION("IMPORTRANGE(""https://docs.google.com/spreadsheets/d/1QqKyyYR6Q21VydFLVH3TRQUabQu_ym0Zz7PgGX0-kHA/edit?usp=sharing"",""แผน!AH83"")"),0)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 hidden="1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 hidden="1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IFERROR(__xludf.DUMMYFUNCTION("IMPORTRANGE(""https://docs.google.com/spreadsheets/d/1QqKyyYR6Q21VydFLVH3TRQUabQu_ym0Zz7PgGX0-kHA/edit?usp=sharing"",""แผน!AI83"")"),0)</f>
        <v>0</v>
      </c>
      <c r="J204" s="1012">
        <v>0</v>
      </c>
      <c r="K204" s="998">
        <f ca="1">IF(I204&gt;0,J204*100/I204,0)</f>
        <v>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 hidden="1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 hidden="1">
      <c r="A206" s="1002"/>
      <c r="B206" s="1003"/>
      <c r="C206" s="1003"/>
      <c r="D206" s="1010"/>
      <c r="E206" s="1009" t="s">
        <v>349</v>
      </c>
      <c r="F206" s="1010"/>
      <c r="G206" s="1011"/>
      <c r="H206" s="1007" t="s">
        <v>96</v>
      </c>
      <c r="I206" s="880"/>
      <c r="J206" s="1012">
        <v>0</v>
      </c>
      <c r="K206" s="998"/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 hidden="1">
      <c r="A207" s="1002"/>
      <c r="B207" s="1003"/>
      <c r="C207" s="1003"/>
      <c r="D207" s="1009"/>
      <c r="E207" s="1009" t="s">
        <v>350</v>
      </c>
      <c r="F207" s="1010"/>
      <c r="G207" s="1011"/>
      <c r="H207" s="762" t="s">
        <v>66</v>
      </c>
      <c r="I207" s="880"/>
      <c r="J207" s="1012">
        <v>0</v>
      </c>
      <c r="K207" s="998"/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0">I215</f>
        <v>0</v>
      </c>
      <c r="J208" s="1078">
        <f t="shared" si="100"/>
        <v>0</v>
      </c>
      <c r="K208" s="1079">
        <f ca="1">IF(I208&gt;0,J208*100/I208,0)</f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IFERROR(__xludf.DUMMYFUNCTION("IMPORTRANGE(""https://docs.google.com/spreadsheets/d/1QqKyyYR6Q21VydFLVH3TRQUabQu_ym0Zz7PgGX0-kHA/edit?usp=sharing"",""แผน!AK83"")"),0)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IFERROR(__xludf.DUMMYFUNCTION("IMPORTRANGE(""https://docs.google.com/spreadsheets/d/1QqKyyYR6Q21VydFLVH3TRQUabQu_ym0Zz7PgGX0-kHA/edit?usp=sharing"",""แผน!AL83"")"),0)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IFERROR(__xludf.DUMMYFUNCTION("IMPORTRANGE(""https://docs.google.com/spreadsheets/d/1QqKyyYR6Q21VydFLVH3TRQUabQu_ym0Zz7PgGX0-kHA/edit?usp=sharing"",""แผน!AM83"")"),0)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IFERROR(__xludf.DUMMYFUNCTION("IMPORTRANGE(""https://docs.google.com/spreadsheets/d/1QqKyyYR6Q21VydFLVH3TRQUabQu_ym0Zz7PgGX0-kHA/edit?usp=sharing"",""แผน!AN83"")"),0)</f>
        <v>0</v>
      </c>
      <c r="J214" s="1012">
        <v>0</v>
      </c>
      <c r="K214" s="881">
        <f t="shared" ref="K214:K216" ca="1" si="101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IFERROR(__xludf.DUMMYFUNCTION("IMPORTRANGE(""https://docs.google.com/spreadsheets/d/1QqKyyYR6Q21VydFLVH3TRQUabQu_ym0Zz7PgGX0-kHA/edit?usp=sharing"",""แผน!AN83"")"),0)</f>
        <v>0</v>
      </c>
      <c r="J215" s="1012">
        <v>0</v>
      </c>
      <c r="K215" s="881">
        <f t="shared" ca="1" si="101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 hidden="1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2">I224</f>
        <v>0</v>
      </c>
      <c r="J216" s="1078">
        <f t="shared" si="102"/>
        <v>0</v>
      </c>
      <c r="K216" s="1079">
        <f t="shared" ca="1" si="101"/>
        <v>0</v>
      </c>
      <c r="L216" s="1068"/>
      <c r="M216" s="1068"/>
      <c r="N216" s="1068"/>
      <c r="O216" s="1068"/>
      <c r="P216" s="1068"/>
    </row>
    <row r="217" spans="1:26" ht="19.5" hidden="1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 hidden="1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IFERROR(__xludf.DUMMYFUNCTION("IMPORTRANGE(""https://docs.google.com/spreadsheets/d/1QqKyyYR6Q21VydFLVH3TRQUabQu_ym0Zz7PgGX0-kHA/edit?usp=sharing"",""แผน!AP83"")"),0)</f>
        <v>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 hidden="1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IFERROR(__xludf.DUMMYFUNCTION("IMPORTRANGE(""https://docs.google.com/spreadsheets/d/1QqKyyYR6Q21VydFLVH3TRQUabQu_ym0Zz7PgGX0-kHA/edit?usp=sharing"",""แผน!AQ83"")"),0)</f>
        <v>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 hidden="1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IFERROR(__xludf.DUMMYFUNCTION("IMPORTRANGE(""https://docs.google.com/spreadsheets/d/1QqKyyYR6Q21VydFLVH3TRQUabQu_ym0Zz7PgGX0-kHA/edit?usp=sharing"",""แผน!AR83"")"),0)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 hidden="1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 hidden="1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 hidden="1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IFERROR(__xludf.DUMMYFUNCTION("IMPORTRANGE(""https://docs.google.com/spreadsheets/d/1QqKyyYR6Q21VydFLVH3TRQUabQu_ym0Zz7PgGX0-kHA/edit?usp=sharing"",""แผน!AT83"")"),0)</f>
        <v>0</v>
      </c>
      <c r="J223" s="1012">
        <v>0</v>
      </c>
      <c r="K223" s="998">
        <f t="shared" ref="K223:K226" ca="1" si="103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 hidden="1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IFERROR(__xludf.DUMMYFUNCTION("IMPORTRANGE(""https://docs.google.com/spreadsheets/d/1QqKyyYR6Q21VydFLVH3TRQUabQu_ym0Zz7PgGX0-kHA/edit?usp=sharing"",""แผน!AT83"")"),0)</f>
        <v>0</v>
      </c>
      <c r="J224" s="1012">
        <v>0</v>
      </c>
      <c r="K224" s="998">
        <f t="shared" ca="1" si="103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 hidden="1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IFERROR(__xludf.DUMMYFUNCTION("IMPORTRANGE(""https://docs.google.com/spreadsheets/d/1QqKyyYR6Q21VydFLVH3TRQUabQu_ym0Zz7PgGX0-kHA/edit?usp=sharing"",""แผน!AS83"")"),0)</f>
        <v>0</v>
      </c>
      <c r="J225" s="1012">
        <v>0</v>
      </c>
      <c r="K225" s="998">
        <f t="shared" ca="1" si="103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4">I237+I248</f>
        <v>#VALUE!</v>
      </c>
      <c r="J226" s="1094">
        <f t="shared" si="104"/>
        <v>0</v>
      </c>
      <c r="K226" s="1095" t="e">
        <f t="shared" ca="1" si="103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5">L238+L249</f>
        <v>0</v>
      </c>
      <c r="M227" s="1103"/>
      <c r="N227" s="1103">
        <f t="shared" ref="N227:N231" si="106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5"/>
        <v>0</v>
      </c>
      <c r="M228" s="887"/>
      <c r="N228" s="887">
        <f t="shared" si="106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5"/>
        <v>0</v>
      </c>
      <c r="M229" s="887"/>
      <c r="N229" s="887">
        <f t="shared" si="106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5"/>
        <v>0</v>
      </c>
      <c r="M230" s="887"/>
      <c r="N230" s="887">
        <f t="shared" si="106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5"/>
        <v>0</v>
      </c>
      <c r="M231" s="887"/>
      <c r="N231" s="887">
        <f t="shared" si="106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7">I244+I255</f>
        <v>#VALUE!</v>
      </c>
      <c r="J233" s="886">
        <f t="shared" si="107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8">I246+I257</f>
        <v>0</v>
      </c>
      <c r="J235" s="886">
        <f t="shared" si="108"/>
        <v>0</v>
      </c>
      <c r="K235" s="887">
        <f t="shared" ref="K235:K237" si="109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8"/>
        <v>0</v>
      </c>
      <c r="J236" s="886">
        <f t="shared" si="108"/>
        <v>0</v>
      </c>
      <c r="K236" s="887">
        <f t="shared" si="109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0">I244</f>
        <v>0</v>
      </c>
      <c r="J237" s="1078">
        <f t="shared" si="110"/>
        <v>0</v>
      </c>
      <c r="K237" s="1079">
        <f t="shared" ca="1" si="109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IFERROR(__xludf.DUMMYFUNCTION("IMPORTRANGE(""https://docs.google.com/spreadsheets/d/1QqKyyYR6Q21VydFLVH3TRQUabQu_ym0Zz7PgGX0-kHA/edit?usp=sharing"",""แผน!AV83"")"),0)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IFERROR(__xludf.DUMMYFUNCTION("IMPORTRANGE(""https://docs.google.com/spreadsheets/d/1QqKyyYR6Q21VydFLVH3TRQUabQu_ym0Zz7PgGX0-kHA/edit?usp=sharing"",""แผน!AW83"")"),0)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IFERROR(__xludf.DUMMYFUNCTION("IMPORTRANGE(""https://docs.google.com/spreadsheets/d/1QqKyyYR6Q21VydFLVH3TRQUabQu_ym0Zz7PgGX0-kHA/edit?usp=sharing"",""แผน!AX83"")"),0)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IFERROR(__xludf.DUMMYFUNCTION("IMPORTRANGE(""https://docs.google.com/spreadsheets/d/1QqKyyYR6Q21VydFLVH3TRQUabQu_ym0Zz7PgGX0-kHA/edit?usp=sharing"",""แผน!AY83"")"),0)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IFERROR(__xludf.DUMMYFUNCTION("IMPORTRANGE(""https://docs.google.com/spreadsheets/d/1QqKyyYR6Q21VydFLVH3TRQUabQu_ym0Zz7PgGX0-kHA/edit?usp=sharing"",""แผน!BE83"")"),0)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1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1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2">I255</f>
        <v/>
      </c>
      <c r="J248" s="1078">
        <f t="shared" si="112"/>
        <v>0</v>
      </c>
      <c r="K248" s="1079" t="e">
        <f t="shared" ca="1" si="111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IFERROR(__xludf.DUMMYFUNCTION("IMPORTRANGE(""https://docs.google.com/spreadsheets/d/1QqKyyYR6Q21VydFLVH3TRQUabQu_ym0Zz7PgGX0-kHA/edit?usp=sharing"",""แผน!AZ83"")"),0)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IFERROR(__xludf.DUMMYFUNCTION("IMPORTRANGE(""https://docs.google.com/spreadsheets/d/1QqKyyYR6Q21VydFLVH3TRQUabQu_ym0Zz7PgGX0-kHA/edit?usp=sharing"",""แผน!BA83"")"),0)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IFERROR(__xludf.DUMMYFUNCTION("IMPORTRANGE(""https://docs.google.com/spreadsheets/d/1QqKyyYR6Q21VydFLVH3TRQUabQu_ym0Zz7PgGX0-kHA/edit?usp=sharing"",""แผน!BB83"")"),0)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IFERROR(__xludf.DUMMYFUNCTION("IMPORTRANGE(""https://docs.google.com/spreadsheets/d/1QqKyyYR6Q21VydFLVH3TRQUabQu_ym0Zz7PgGX0-kHA/edit?usp=sharing"",""แผน!BC83"")"),0)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IFERROR(__xludf.DUMMYFUNCTION("IMPORTRANGE(""https://docs.google.com/spreadsheets/d/1QqKyyYR6Q21VydFLVH3TRQUabQu_ym0Zz7PgGX0-kHA/edit?usp=sharing"",""แผน!BF83"")"),"")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3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3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4">I271</f>
        <v>20</v>
      </c>
      <c r="J260" s="1075">
        <f t="shared" si="114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5">L262+L263</f>
        <v>25000</v>
      </c>
      <c r="M261" s="992">
        <f t="shared" ca="1" si="115"/>
        <v>0</v>
      </c>
      <c r="N261" s="992">
        <f t="shared" ca="1" si="115"/>
        <v>0</v>
      </c>
      <c r="O261" s="992">
        <f t="shared" ref="O261:O269" ca="1" si="116">IF(L261&gt;0,N261*100/L261,0)</f>
        <v>0</v>
      </c>
      <c r="P261" s="992">
        <f t="shared" ref="P261:P269" ca="1" si="117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8">L265+L268</f>
        <v>0</v>
      </c>
      <c r="M262" s="887">
        <f t="shared" si="118"/>
        <v>0</v>
      </c>
      <c r="N262" s="887">
        <f t="shared" si="118"/>
        <v>0</v>
      </c>
      <c r="O262" s="887">
        <f t="shared" si="116"/>
        <v>0</v>
      </c>
      <c r="P262" s="887">
        <f t="shared" si="117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8"/>
        <v>25000</v>
      </c>
      <c r="M263" s="887">
        <f t="shared" ca="1" si="118"/>
        <v>0</v>
      </c>
      <c r="N263" s="887">
        <f t="shared" ca="1" si="118"/>
        <v>0</v>
      </c>
      <c r="O263" s="887">
        <f t="shared" ca="1" si="116"/>
        <v>0</v>
      </c>
      <c r="P263" s="887">
        <f t="shared" ca="1" si="117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19">L265+L266</f>
        <v>25000</v>
      </c>
      <c r="M264" s="881">
        <f t="shared" ca="1" si="119"/>
        <v>0</v>
      </c>
      <c r="N264" s="881">
        <f t="shared" ca="1" si="119"/>
        <v>0</v>
      </c>
      <c r="O264" s="881">
        <f t="shared" ca="1" si="116"/>
        <v>0</v>
      </c>
      <c r="P264" s="881">
        <f t="shared" ca="1" si="117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6"/>
        <v>0</v>
      </c>
      <c r="P265" s="887">
        <f t="shared" si="117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IFERROR(__xludf.DUMMYFUNCTION("IMPORTRANGE(""https://docs.google.com/spreadsheets/d/1MeEWN-I1oV_STSDYn1IFDPWt_1FKiwhDph83XaGc0o0/edit?usp=sharing"",""งบพรบ!CY83"")"),25000)</f>
        <v>25000</v>
      </c>
      <c r="M266" s="887">
        <f ca="1">IFERROR(__xludf.DUMMYFUNCTION("IMPORTRANGE(""https://docs.google.com/spreadsheets/d/1MeEWN-I1oV_STSDYn1IFDPWt_1FKiwhDph83XaGc0o0/edit?usp=sharing"",""งบพรบ!DD83"")"),0)</f>
        <v>0</v>
      </c>
      <c r="N266" s="887">
        <f ca="1">IFERROR(__xludf.DUMMYFUNCTION("IMPORTRANGE(""https://docs.google.com/spreadsheets/d/1MeEWN-I1oV_STSDYn1IFDPWt_1FKiwhDph83XaGc0o0/edit?usp=sharing"",""งบพรบ!DF83"")"),0)</f>
        <v>0</v>
      </c>
      <c r="O266" s="887">
        <f t="shared" ca="1" si="116"/>
        <v>0</v>
      </c>
      <c r="P266" s="887">
        <f t="shared" ca="1" si="117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0">L268+L269</f>
        <v>0</v>
      </c>
      <c r="M267" s="881">
        <f t="shared" ca="1" si="120"/>
        <v>0</v>
      </c>
      <c r="N267" s="881">
        <f t="shared" ca="1" si="120"/>
        <v>0</v>
      </c>
      <c r="O267" s="881">
        <f t="shared" ca="1" si="116"/>
        <v>0</v>
      </c>
      <c r="P267" s="881">
        <f t="shared" ca="1" si="117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6"/>
        <v>0</v>
      </c>
      <c r="P268" s="887">
        <f t="shared" si="117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IFERROR(__xludf.DUMMYFUNCTION("IMPORTRANGE(""https://docs.google.com/spreadsheets/d/1MeEWN-I1oV_STSDYn1IFDPWt_1FKiwhDph83XaGc0o0/edit?usp=sharing"",""งบพรบ!DB83"")"),0)</f>
        <v>0</v>
      </c>
      <c r="M269" s="887">
        <f ca="1">IFERROR(__xludf.DUMMYFUNCTION("IMPORTRANGE(""https://docs.google.com/spreadsheets/d/1MeEWN-I1oV_STSDYn1IFDPWt_1FKiwhDph83XaGc0o0/edit?usp=sharing"",""งบพรบ!DE83"")"),0)</f>
        <v>0</v>
      </c>
      <c r="N269" s="887">
        <f ca="1">IFERROR(__xludf.DUMMYFUNCTION("IMPORTRANGE(""https://docs.google.com/spreadsheets/d/1MeEWN-I1oV_STSDYn1IFDPWt_1FKiwhDph83XaGc0o0/edit?usp=sharing"",""งบพรบ!DG83"")"),0)</f>
        <v>0</v>
      </c>
      <c r="O269" s="887">
        <f t="shared" ca="1" si="116"/>
        <v>0</v>
      </c>
      <c r="P269" s="887">
        <f t="shared" ca="1" si="117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IFERROR(__xludf.DUMMYFUNCTION("IMPORTRANGE(""https://docs.google.com/spreadsheets/d/1QqKyyYR6Q21VydFLVH3TRQUabQu_ym0Zz7PgGX0-kHA/edit?usp=sharing"",""แผน!EA83"")"),20)</f>
        <v>20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1">I288</f>
        <v>0</v>
      </c>
      <c r="J275" s="1159">
        <f t="shared" ca="1" si="121"/>
        <v>0</v>
      </c>
      <c r="K275" s="1160">
        <f t="shared" ref="K275:K276" ca="1" si="122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3">I287</f>
        <v>0</v>
      </c>
      <c r="J276" s="1493">
        <f t="shared" si="123"/>
        <v>0</v>
      </c>
      <c r="K276" s="1161">
        <f t="shared" ca="1" si="122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4">L278+L279</f>
        <v>0</v>
      </c>
      <c r="M277" s="992">
        <f t="shared" ca="1" si="124"/>
        <v>0</v>
      </c>
      <c r="N277" s="992">
        <f t="shared" ca="1" si="124"/>
        <v>0</v>
      </c>
      <c r="O277" s="992">
        <f t="shared" ref="O277:O285" ca="1" si="125">IF(L277&gt;0,N277*100/L277,0)</f>
        <v>0</v>
      </c>
      <c r="P277" s="992">
        <f t="shared" ref="P277:P285" ca="1" si="126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7">L281+L284</f>
        <v>0</v>
      </c>
      <c r="M278" s="887">
        <f t="shared" si="127"/>
        <v>0</v>
      </c>
      <c r="N278" s="887">
        <f t="shared" si="127"/>
        <v>0</v>
      </c>
      <c r="O278" s="887">
        <f t="shared" si="125"/>
        <v>0</v>
      </c>
      <c r="P278" s="887">
        <f t="shared" si="126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7"/>
        <v>0</v>
      </c>
      <c r="M279" s="887">
        <f t="shared" ca="1" si="127"/>
        <v>0</v>
      </c>
      <c r="N279" s="887">
        <f t="shared" ca="1" si="127"/>
        <v>0</v>
      </c>
      <c r="O279" s="887">
        <f t="shared" ca="1" si="125"/>
        <v>0</v>
      </c>
      <c r="P279" s="887">
        <f t="shared" ca="1" si="126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8">L281+L282</f>
        <v>0</v>
      </c>
      <c r="M280" s="881">
        <f t="shared" ca="1" si="128"/>
        <v>0</v>
      </c>
      <c r="N280" s="881">
        <f t="shared" ca="1" si="128"/>
        <v>0</v>
      </c>
      <c r="O280" s="881">
        <f t="shared" ca="1" si="125"/>
        <v>0</v>
      </c>
      <c r="P280" s="881">
        <f t="shared" ca="1" si="126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5"/>
        <v>0</v>
      </c>
      <c r="P281" s="887">
        <f t="shared" si="126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IFERROR(__xludf.DUMMYFUNCTION("IMPORTRANGE(""https://docs.google.com/spreadsheets/d/1MeEWN-I1oV_STSDYn1IFDPWt_1FKiwhDph83XaGc0o0/edit?usp=sharing"",""งบพรบ!DI83"")"),0)</f>
        <v>0</v>
      </c>
      <c r="M282" s="887">
        <f ca="1">IFERROR(__xludf.DUMMYFUNCTION("IMPORTRANGE(""https://docs.google.com/spreadsheets/d/1MeEWN-I1oV_STSDYn1IFDPWt_1FKiwhDph83XaGc0o0/edit?usp=sharing"",""งบพรบ!DN83"")"),0)</f>
        <v>0</v>
      </c>
      <c r="N282" s="887">
        <f ca="1">IFERROR(__xludf.DUMMYFUNCTION("IMPORTRANGE(""https://docs.google.com/spreadsheets/d/1MeEWN-I1oV_STSDYn1IFDPWt_1FKiwhDph83XaGc0o0/edit?usp=sharing"",""งบพรบ!DP83"")"),0)</f>
        <v>0</v>
      </c>
      <c r="O282" s="887">
        <f t="shared" ca="1" si="125"/>
        <v>0</v>
      </c>
      <c r="P282" s="887">
        <f t="shared" ca="1" si="126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29">L284+L285</f>
        <v>0</v>
      </c>
      <c r="M283" s="881">
        <f t="shared" ca="1" si="129"/>
        <v>0</v>
      </c>
      <c r="N283" s="881">
        <f t="shared" ca="1" si="129"/>
        <v>0</v>
      </c>
      <c r="O283" s="881">
        <f t="shared" ca="1" si="125"/>
        <v>0</v>
      </c>
      <c r="P283" s="881">
        <f t="shared" ca="1" si="126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5"/>
        <v>0</v>
      </c>
      <c r="P284" s="887">
        <f t="shared" si="126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IFERROR(__xludf.DUMMYFUNCTION("IMPORTRANGE(""https://docs.google.com/spreadsheets/d/1MeEWN-I1oV_STSDYn1IFDPWt_1FKiwhDph83XaGc0o0/edit?usp=sharing"",""งบพรบ!DL83"")"),0)</f>
        <v>0</v>
      </c>
      <c r="M285" s="887">
        <f ca="1">IFERROR(__xludf.DUMMYFUNCTION("IMPORTRANGE(""https://docs.google.com/spreadsheets/d/1MeEWN-I1oV_STSDYn1IFDPWt_1FKiwhDph83XaGc0o0/edit?usp=sharing"",""งบพรบ!DO83"")"),0)</f>
        <v>0</v>
      </c>
      <c r="N285" s="887">
        <f ca="1">IFERROR(__xludf.DUMMYFUNCTION("IMPORTRANGE(""https://docs.google.com/spreadsheets/d/1MeEWN-I1oV_STSDYn1IFDPWt_1FKiwhDph83XaGc0o0/edit?usp=sharing"",""งบพรบ!DQ83"")"),0)</f>
        <v>0</v>
      </c>
      <c r="O285" s="887">
        <f t="shared" ca="1" si="125"/>
        <v>0</v>
      </c>
      <c r="P285" s="887">
        <f t="shared" ca="1" si="126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IFERROR(__xludf.DUMMYFUNCTION("IMPORTRANGE(""https://docs.google.com/spreadsheets/d/1QqKyyYR6Q21VydFLVH3TRQUabQu_ym0Zz7PgGX0-kHA/edit?usp=sharing"",""แผน!EC83"")"),0)</f>
        <v>0</v>
      </c>
      <c r="J287" s="880">
        <v>0</v>
      </c>
      <c r="K287" s="998">
        <f t="shared" ref="K287:K288" ca="1" si="130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IFERROR(__xludf.DUMMYFUNCTION("IMPORTRANGE(""https://docs.google.com/spreadsheets/d/1QqKyyYR6Q21VydFLVH3TRQUabQu_ym0Zz7PgGX0-kHA/edit?usp=sharing"",""แผน!EB83"")"),0)</f>
        <v>0</v>
      </c>
      <c r="J288" s="1019">
        <f ca="1">IF(AND(J291&gt;=I288,J294&gt;=I288),J294,0)</f>
        <v>0</v>
      </c>
      <c r="K288" s="1162">
        <f t="shared" ca="1" si="130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IFERROR(__xludf.DUMMYFUNCTION("IMPORTRANGE(""https://docs.google.com/spreadsheets/d/1QqKyyYR6Q21VydFLVH3TRQUabQu_ym0Zz7PgGX0-kHA/edit?usp=sharing"",""แผน!EB83"")"),0)</f>
        <v>0</v>
      </c>
      <c r="J290" s="1012">
        <v>0</v>
      </c>
      <c r="K290" s="998">
        <f t="shared" ref="K290:K291" ca="1" si="131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IFERROR(__xludf.DUMMYFUNCTION("IMPORTRANGE(""https://docs.google.com/spreadsheets/d/1QqKyyYR6Q21VydFLVH3TRQUabQu_ym0Zz7PgGX0-kHA/edit?usp=sharing"",""แผน!EB83"")"),0)</f>
        <v>0</v>
      </c>
      <c r="J291" s="1012">
        <v>0</v>
      </c>
      <c r="K291" s="998">
        <f t="shared" ca="1" si="131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IFERROR(__xludf.DUMMYFUNCTION("IMPORTRANGE(""https://docs.google.com/spreadsheets/d/1QqKyyYR6Q21VydFLVH3TRQUabQu_ym0Zz7PgGX0-kHA/edit?usp=sharing"",""แผน!EB83"")"),0)</f>
        <v>0</v>
      </c>
      <c r="J293" s="1012">
        <v>0</v>
      </c>
      <c r="K293" s="998">
        <f t="shared" ref="K293:K294" ca="1" si="132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IFERROR(__xludf.DUMMYFUNCTION("IMPORTRANGE(""https://docs.google.com/spreadsheets/d/1QqKyyYR6Q21VydFLVH3TRQUabQu_ym0Zz7PgGX0-kHA/edit?usp=sharing"",""แผน!EB83"")"),0)</f>
        <v>0</v>
      </c>
      <c r="J294" s="1171">
        <v>0</v>
      </c>
      <c r="K294" s="1139">
        <f t="shared" ca="1" si="132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3">I309</f>
        <v>0</v>
      </c>
      <c r="J297" s="1190">
        <f t="shared" si="133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4">L299+L300</f>
        <v>0</v>
      </c>
      <c r="M298" s="992">
        <f t="shared" ca="1" si="134"/>
        <v>0</v>
      </c>
      <c r="N298" s="992">
        <f t="shared" ca="1" si="134"/>
        <v>0</v>
      </c>
      <c r="O298" s="992">
        <f t="shared" ref="O298:O306" ca="1" si="135">IF(L298&gt;0,N298*100/L298,0)</f>
        <v>0</v>
      </c>
      <c r="P298" s="992">
        <f t="shared" ref="P298:P306" ca="1" si="136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7">L302+L305</f>
        <v>0</v>
      </c>
      <c r="M299" s="887">
        <f t="shared" si="137"/>
        <v>0</v>
      </c>
      <c r="N299" s="887">
        <f t="shared" si="137"/>
        <v>0</v>
      </c>
      <c r="O299" s="887">
        <f t="shared" si="135"/>
        <v>0</v>
      </c>
      <c r="P299" s="887">
        <f t="shared" si="136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7"/>
        <v>0</v>
      </c>
      <c r="M300" s="887">
        <f t="shared" ca="1" si="137"/>
        <v>0</v>
      </c>
      <c r="N300" s="887">
        <f t="shared" ca="1" si="137"/>
        <v>0</v>
      </c>
      <c r="O300" s="887">
        <f t="shared" ca="1" si="135"/>
        <v>0</v>
      </c>
      <c r="P300" s="887">
        <f t="shared" ca="1" si="136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8">L302+L303</f>
        <v>0</v>
      </c>
      <c r="M301" s="881">
        <f t="shared" ca="1" si="138"/>
        <v>0</v>
      </c>
      <c r="N301" s="881">
        <f t="shared" ca="1" si="138"/>
        <v>0</v>
      </c>
      <c r="O301" s="881">
        <f t="shared" ca="1" si="135"/>
        <v>0</v>
      </c>
      <c r="P301" s="881">
        <f t="shared" ca="1" si="136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5"/>
        <v>0</v>
      </c>
      <c r="P302" s="887">
        <f t="shared" si="136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IFERROR(__xludf.DUMMYFUNCTION("IMPORTRANGE(""https://docs.google.com/spreadsheets/d/1MeEWN-I1oV_STSDYn1IFDPWt_1FKiwhDph83XaGc0o0/edit?usp=sharing"",""งบพรบ!DS83"")"),0)</f>
        <v>0</v>
      </c>
      <c r="M303" s="887">
        <f ca="1">IFERROR(__xludf.DUMMYFUNCTION("IMPORTRANGE(""https://docs.google.com/spreadsheets/d/1MeEWN-I1oV_STSDYn1IFDPWt_1FKiwhDph83XaGc0o0/edit?usp=sharing"",""งบพรบ!DX83"")"),0)</f>
        <v>0</v>
      </c>
      <c r="N303" s="887">
        <f ca="1">IFERROR(__xludf.DUMMYFUNCTION("IMPORTRANGE(""https://docs.google.com/spreadsheets/d/1MeEWN-I1oV_STSDYn1IFDPWt_1FKiwhDph83XaGc0o0/edit?usp=sharing"",""งบพรบ!DZ83"")"),0)</f>
        <v>0</v>
      </c>
      <c r="O303" s="887">
        <f t="shared" ca="1" si="135"/>
        <v>0</v>
      </c>
      <c r="P303" s="887">
        <f t="shared" ca="1" si="136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39">L305+L306</f>
        <v>0</v>
      </c>
      <c r="M304" s="881">
        <f t="shared" ca="1" si="139"/>
        <v>0</v>
      </c>
      <c r="N304" s="881">
        <f t="shared" ca="1" si="139"/>
        <v>0</v>
      </c>
      <c r="O304" s="881">
        <f t="shared" ca="1" si="135"/>
        <v>0</v>
      </c>
      <c r="P304" s="881">
        <f t="shared" ca="1" si="136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5"/>
        <v>0</v>
      </c>
      <c r="P305" s="887">
        <f t="shared" si="136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IFERROR(__xludf.DUMMYFUNCTION("IMPORTRANGE(""https://docs.google.com/spreadsheets/d/1MeEWN-I1oV_STSDYn1IFDPWt_1FKiwhDph83XaGc0o0/edit?usp=sharing"",""งบพรบ!DV83"")"),0)</f>
        <v>0</v>
      </c>
      <c r="M306" s="887">
        <f ca="1">IFERROR(__xludf.DUMMYFUNCTION("IMPORTRANGE(""https://docs.google.com/spreadsheets/d/1MeEWN-I1oV_STSDYn1IFDPWt_1FKiwhDph83XaGc0o0/edit?usp=sharing"",""งบพรบ!DY83"")"),0)</f>
        <v>0</v>
      </c>
      <c r="N306" s="887">
        <f ca="1">IFERROR(__xludf.DUMMYFUNCTION("IMPORTRANGE(""https://docs.google.com/spreadsheets/d/1MeEWN-I1oV_STSDYn1IFDPWt_1FKiwhDph83XaGc0o0/edit?usp=sharing"",""งบพรบ!EA83"")"),0)</f>
        <v>0</v>
      </c>
      <c r="O306" s="887">
        <f t="shared" ca="1" si="135"/>
        <v>0</v>
      </c>
      <c r="P306" s="887">
        <f t="shared" ca="1" si="136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IFERROR(__xludf.DUMMYFUNCTION("IMPORTRANGE(""https://docs.google.com/spreadsheets/d/1QqKyyYR6Q21VydFLVH3TRQUabQu_ym0Zz7PgGX0-kHA/edit?usp=sharing"",""แผน!ED83"")"),0)</f>
        <v>0</v>
      </c>
      <c r="J309" s="1012">
        <v>0</v>
      </c>
      <c r="K309" s="881">
        <f t="shared" ref="K309:K312" ca="1" si="140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IFERROR(__xludf.DUMMYFUNCTION("IMPORTRANGE(""https://docs.google.com/spreadsheets/d/1QqKyyYR6Q21VydFLVH3TRQUabQu_ym0Zz7PgGX0-kHA/edit?usp=sharing"",""แผน!ED83"")"),0)</f>
        <v>0</v>
      </c>
      <c r="J310" s="1012">
        <v>0</v>
      </c>
      <c r="K310" s="881">
        <f t="shared" ca="1" si="140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IFERROR(__xludf.DUMMYFUNCTION("IMPORTRANGE(""https://docs.google.com/spreadsheets/d/1QqKyyYR6Q21VydFLVH3TRQUabQu_ym0Zz7PgGX0-kHA/edit?usp=sharing"",""แผน!ED83"")"),0)</f>
        <v>0</v>
      </c>
      <c r="J311" s="1012">
        <v>0</v>
      </c>
      <c r="K311" s="881">
        <f t="shared" ca="1" si="140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IFERROR(__xludf.DUMMYFUNCTION("IMPORTRANGE(""https://docs.google.com/spreadsheets/d/1QqKyyYR6Q21VydFLVH3TRQUabQu_ym0Zz7PgGX0-kHA/edit?usp=sharing"",""แผน!EE83"")"),0)</f>
        <v>0</v>
      </c>
      <c r="J312" s="1012">
        <v>0</v>
      </c>
      <c r="K312" s="881">
        <f t="shared" ca="1" si="140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1">I325</f>
        <v>0</v>
      </c>
      <c r="J314" s="1190">
        <f t="shared" si="141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2">L316+L317</f>
        <v>0</v>
      </c>
      <c r="M315" s="992">
        <f t="shared" ca="1" si="142"/>
        <v>0</v>
      </c>
      <c r="N315" s="992">
        <f t="shared" ca="1" si="142"/>
        <v>0</v>
      </c>
      <c r="O315" s="992">
        <f t="shared" ref="O315:O323" ca="1" si="143">IF(L315&gt;0,N315*100/L315,0)</f>
        <v>0</v>
      </c>
      <c r="P315" s="992">
        <f t="shared" ref="P315:P323" ca="1" si="144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5">L319+L322</f>
        <v>0</v>
      </c>
      <c r="M316" s="887">
        <f t="shared" si="145"/>
        <v>0</v>
      </c>
      <c r="N316" s="887">
        <f t="shared" si="145"/>
        <v>0</v>
      </c>
      <c r="O316" s="887">
        <f t="shared" si="143"/>
        <v>0</v>
      </c>
      <c r="P316" s="887">
        <f t="shared" si="144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5"/>
        <v>0</v>
      </c>
      <c r="M317" s="887">
        <f t="shared" ca="1" si="145"/>
        <v>0</v>
      </c>
      <c r="N317" s="887">
        <f t="shared" ca="1" si="145"/>
        <v>0</v>
      </c>
      <c r="O317" s="887">
        <f t="shared" ca="1" si="143"/>
        <v>0</v>
      </c>
      <c r="P317" s="887">
        <f t="shared" ca="1" si="144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6">L319+L320</f>
        <v>0</v>
      </c>
      <c r="M318" s="881">
        <f t="shared" ca="1" si="146"/>
        <v>0</v>
      </c>
      <c r="N318" s="881">
        <f t="shared" ca="1" si="146"/>
        <v>0</v>
      </c>
      <c r="O318" s="881">
        <f t="shared" ca="1" si="143"/>
        <v>0</v>
      </c>
      <c r="P318" s="881">
        <f t="shared" ca="1" si="144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3"/>
        <v>0</v>
      </c>
      <c r="P319" s="887">
        <f t="shared" si="144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IFERROR(__xludf.DUMMYFUNCTION("IMPORTRANGE(""https://docs.google.com/spreadsheets/d/1MeEWN-I1oV_STSDYn1IFDPWt_1FKiwhDph83XaGc0o0/edit?usp=sharing"",""งบพรบ!EC83"")"),0)</f>
        <v>0</v>
      </c>
      <c r="M320" s="887">
        <f ca="1">IFERROR(__xludf.DUMMYFUNCTION("IMPORTRANGE(""https://docs.google.com/spreadsheets/d/1MeEWN-I1oV_STSDYn1IFDPWt_1FKiwhDph83XaGc0o0/edit?usp=sharing"",""งบพรบ!EH83"")"),0)</f>
        <v>0</v>
      </c>
      <c r="N320" s="887">
        <f ca="1">IFERROR(__xludf.DUMMYFUNCTION("IMPORTRANGE(""https://docs.google.com/spreadsheets/d/1MeEWN-I1oV_STSDYn1IFDPWt_1FKiwhDph83XaGc0o0/edit?usp=sharing"",""งบพรบ!EJ83"")"),0)</f>
        <v>0</v>
      </c>
      <c r="O320" s="887">
        <f t="shared" ca="1" si="143"/>
        <v>0</v>
      </c>
      <c r="P320" s="887">
        <f t="shared" ca="1" si="144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7">L322+L323</f>
        <v>0</v>
      </c>
      <c r="M321" s="881">
        <f t="shared" ca="1" si="147"/>
        <v>0</v>
      </c>
      <c r="N321" s="881">
        <f t="shared" ca="1" si="147"/>
        <v>0</v>
      </c>
      <c r="O321" s="881">
        <f t="shared" ca="1" si="143"/>
        <v>0</v>
      </c>
      <c r="P321" s="881">
        <f t="shared" ca="1" si="144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3"/>
        <v>0</v>
      </c>
      <c r="P322" s="887">
        <f t="shared" si="144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IFERROR(__xludf.DUMMYFUNCTION("IMPORTRANGE(""https://docs.google.com/spreadsheets/d/1MeEWN-I1oV_STSDYn1IFDPWt_1FKiwhDph83XaGc0o0/edit?usp=sharing"",""งบพรบ!EF83"")"),0)</f>
        <v>0</v>
      </c>
      <c r="M323" s="887">
        <f ca="1">IFERROR(__xludf.DUMMYFUNCTION("IMPORTRANGE(""https://docs.google.com/spreadsheets/d/1MeEWN-I1oV_STSDYn1IFDPWt_1FKiwhDph83XaGc0o0/edit?usp=sharing"",""งบพรบ!EI83"")"),0)</f>
        <v>0</v>
      </c>
      <c r="N323" s="887">
        <f ca="1">IFERROR(__xludf.DUMMYFUNCTION("IMPORTRANGE(""https://docs.google.com/spreadsheets/d/1MeEWN-I1oV_STSDYn1IFDPWt_1FKiwhDph83XaGc0o0/edit?usp=sharing"",""งบพรบ!EK83"")"),0)</f>
        <v>0</v>
      </c>
      <c r="O323" s="887">
        <f t="shared" ca="1" si="143"/>
        <v>0</v>
      </c>
      <c r="P323" s="887">
        <f t="shared" ca="1" si="144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IFERROR(__xludf.DUMMYFUNCTION("IMPORTRANGE(""https://docs.google.com/spreadsheets/d/1QqKyyYR6Q21VydFLVH3TRQUabQu_ym0Zz7PgGX0-kHA/edit?usp=sharing"",""แผน!EF83"")"),0)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IFERROR(__xludf.DUMMYFUNCTION("IMPORTRANGE(""https://docs.google.com/spreadsheets/d/1QqKyyYR6Q21VydFLVH3TRQUabQu_ym0Zz7PgGX0-kHA/edit?usp=sharing"",""แผน!EG83"")"),180)</f>
        <v>180</v>
      </c>
      <c r="J327" s="1190">
        <f ca="1">J338+J341+J342+J343</f>
        <v>103</v>
      </c>
      <c r="K327" s="1191">
        <f ca="1">IF(I327&gt;0,J327*100/I327,0)</f>
        <v>57.222222222222221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8">L329+L330</f>
        <v>157000</v>
      </c>
      <c r="M328" s="992">
        <f t="shared" ca="1" si="148"/>
        <v>120250</v>
      </c>
      <c r="N328" s="992">
        <f t="shared" ca="1" si="148"/>
        <v>82706.2</v>
      </c>
      <c r="O328" s="992">
        <f t="shared" ref="O328:O336" ca="1" si="149">IF(L328&gt;0,N328*100/L328,0)</f>
        <v>52.679108280254781</v>
      </c>
      <c r="P328" s="992">
        <f t="shared" ref="P328:P336" ca="1" si="150">IF(M328&gt;0,N328*100/M328,0)</f>
        <v>68.778544698544692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1">L332+L335</f>
        <v>0</v>
      </c>
      <c r="M329" s="887">
        <f t="shared" si="151"/>
        <v>0</v>
      </c>
      <c r="N329" s="887">
        <f t="shared" si="151"/>
        <v>0</v>
      </c>
      <c r="O329" s="887">
        <f t="shared" si="149"/>
        <v>0</v>
      </c>
      <c r="P329" s="887">
        <f t="shared" si="150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1"/>
        <v>157000</v>
      </c>
      <c r="M330" s="887">
        <f t="shared" ca="1" si="151"/>
        <v>120250</v>
      </c>
      <c r="N330" s="887">
        <f t="shared" ca="1" si="151"/>
        <v>82706.2</v>
      </c>
      <c r="O330" s="887">
        <f t="shared" ca="1" si="149"/>
        <v>52.679108280254781</v>
      </c>
      <c r="P330" s="887">
        <f t="shared" ca="1" si="150"/>
        <v>68.778544698544692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2">L332+L333</f>
        <v>157000</v>
      </c>
      <c r="M331" s="881">
        <f t="shared" ca="1" si="152"/>
        <v>120250</v>
      </c>
      <c r="N331" s="881">
        <f t="shared" ca="1" si="152"/>
        <v>82706.2</v>
      </c>
      <c r="O331" s="881">
        <f t="shared" ca="1" si="149"/>
        <v>52.679108280254781</v>
      </c>
      <c r="P331" s="881">
        <f t="shared" ca="1" si="150"/>
        <v>68.778544698544692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49"/>
        <v>0</v>
      </c>
      <c r="P332" s="887">
        <f t="shared" si="150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IFERROR(__xludf.DUMMYFUNCTION("IMPORTRANGE(""https://docs.google.com/spreadsheets/d/1MeEWN-I1oV_STSDYn1IFDPWt_1FKiwhDph83XaGc0o0/edit?usp=sharing"",""งบพรบ!EM83"")"),157000)</f>
        <v>157000</v>
      </c>
      <c r="M333" s="887">
        <f ca="1">IFERROR(__xludf.DUMMYFUNCTION("IMPORTRANGE(""https://docs.google.com/spreadsheets/d/1MeEWN-I1oV_STSDYn1IFDPWt_1FKiwhDph83XaGc0o0/edit?usp=sharing"",""งบพรบ!ER83"")"),120250)</f>
        <v>120250</v>
      </c>
      <c r="N333" s="887">
        <f ca="1">IFERROR(__xludf.DUMMYFUNCTION("IMPORTRANGE(""https://docs.google.com/spreadsheets/d/1MeEWN-I1oV_STSDYn1IFDPWt_1FKiwhDph83XaGc0o0/edit?usp=sharing"",""งบพรบ!ET83"")"),82706.2)</f>
        <v>82706.2</v>
      </c>
      <c r="O333" s="887">
        <f t="shared" ca="1" si="149"/>
        <v>52.679108280254781</v>
      </c>
      <c r="P333" s="887">
        <f t="shared" ca="1" si="150"/>
        <v>68.778544698544692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3">L335+L336</f>
        <v>0</v>
      </c>
      <c r="M334" s="881">
        <f t="shared" ca="1" si="153"/>
        <v>0</v>
      </c>
      <c r="N334" s="881">
        <f t="shared" ca="1" si="153"/>
        <v>0</v>
      </c>
      <c r="O334" s="881">
        <f t="shared" ca="1" si="149"/>
        <v>0</v>
      </c>
      <c r="P334" s="881">
        <f t="shared" ca="1" si="150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49"/>
        <v>0</v>
      </c>
      <c r="P335" s="887">
        <f t="shared" si="150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IFERROR(__xludf.DUMMYFUNCTION("IMPORTRANGE(""https://docs.google.com/spreadsheets/d/1MeEWN-I1oV_STSDYn1IFDPWt_1FKiwhDph83XaGc0o0/edit?usp=sharing"",""งบพรบ!EP83"")"),0)</f>
        <v>0</v>
      </c>
      <c r="M336" s="887">
        <f ca="1">IFERROR(__xludf.DUMMYFUNCTION("IMPORTRANGE(""https://docs.google.com/spreadsheets/d/1MeEWN-I1oV_STSDYn1IFDPWt_1FKiwhDph83XaGc0o0/edit?usp=sharing"",""งบพรบ!ES83"")"),0)</f>
        <v>0</v>
      </c>
      <c r="N336" s="887">
        <f ca="1">IFERROR(__xludf.DUMMYFUNCTION("IMPORTRANGE(""https://docs.google.com/spreadsheets/d/1MeEWN-I1oV_STSDYn1IFDPWt_1FKiwhDph83XaGc0o0/edit?usp=sharing"",""งบพรบ!EU83"")"),0)</f>
        <v>0</v>
      </c>
      <c r="O336" s="887">
        <f t="shared" ca="1" si="149"/>
        <v>0</v>
      </c>
      <c r="P336" s="887">
        <f t="shared" ca="1" si="150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IFERROR(__xludf.DUMMYFUNCTION("IMPORTRANGE(""https://docs.google.com/spreadsheets/d/1QqKyyYR6Q21VydFLVH3TRQUabQu_ym0Zz7PgGX0-kHA/edit?usp=sharing"",""แผน!EG83"")"),180)</f>
        <v>180</v>
      </c>
      <c r="J338" s="880">
        <f ca="1">IFERROR(__xludf.DUMMYFUNCTION("IMPORTRANGE(""https://docs.google.com/spreadsheets/d/1kVcqe37tkHyjCSG3S0O1AXqVkqjo8mSIZil3BcpIysc/edit?usp=sharing"",""ศูนย์!D83"")"),95)</f>
        <v>95</v>
      </c>
      <c r="K338" s="881">
        <f ca="1">IF(I338&gt;0,J338*100/I338,0)</f>
        <v>52.777777777777779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IFERROR(__xludf.DUMMYFUNCTION("IMPORTRANGE(""https://docs.google.com/spreadsheets/d/1QqKyyYR6Q21VydFLVH3TRQUabQu_ym0Zz7PgGX0-kHA/edit?usp=sharing"",""แผน!EH83"")"),2)</f>
        <v>2</v>
      </c>
      <c r="J340" s="880">
        <f ca="1">IFERROR(__xludf.DUMMYFUNCTION("IMPORTRANGE(""https://docs.google.com/spreadsheets/d/1kVcqe37tkHyjCSG3S0O1AXqVkqjo8mSIZil3BcpIysc/edit?usp=sharing"",""ศูนย์!E83"")"),1)</f>
        <v>1</v>
      </c>
      <c r="K340" s="881">
        <f ca="1">IF(I340&gt;0,J340*100/I340,0)</f>
        <v>50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IFERROR(__xludf.DUMMYFUNCTION("IMPORTRANGE(""https://docs.google.com/spreadsheets/d/1kVcqe37tkHyjCSG3S0O1AXqVkqjo8mSIZil3BcpIysc/edit?usp=sharing"",""ศูนย์!F83"")"),8)</f>
        <v>8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IFERROR(__xludf.DUMMYFUNCTION("IMPORTRANGE(""https://docs.google.com/spreadsheets/d/1kVcqe37tkHyjCSG3S0O1AXqVkqjo8mSIZil3BcpIysc/edit?usp=sharing"",""ศูนย์!G83"")"),0)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IFERROR(__xludf.DUMMYFUNCTION("IMPORTRANGE(""https://docs.google.com/spreadsheets/d/1kVcqe37tkHyjCSG3S0O1AXqVkqjo8mSIZil3BcpIysc/edit?usp=sharing"",""ศูนย์!H83"")"),0)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4">L346+L347</f>
        <v>518760</v>
      </c>
      <c r="M345" s="992">
        <f t="shared" ca="1" si="154"/>
        <v>598654</v>
      </c>
      <c r="N345" s="992">
        <f t="shared" ca="1" si="154"/>
        <v>375085.06</v>
      </c>
      <c r="O345" s="992">
        <f t="shared" ref="O345:O353" ca="1" si="155">IF(L345&gt;0,N345*100/L345,0)</f>
        <v>72.304159919808768</v>
      </c>
      <c r="P345" s="992">
        <f t="shared" ref="P345:P353" ca="1" si="156">IF(M345&gt;0,N345*100/M345,0)</f>
        <v>62.654732115712918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7">L349+L352</f>
        <v>0</v>
      </c>
      <c r="M346" s="887">
        <f t="shared" si="157"/>
        <v>0</v>
      </c>
      <c r="N346" s="887">
        <f t="shared" si="157"/>
        <v>0</v>
      </c>
      <c r="O346" s="887">
        <f t="shared" si="155"/>
        <v>0</v>
      </c>
      <c r="P346" s="887">
        <f t="shared" si="156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7"/>
        <v>518760</v>
      </c>
      <c r="M347" s="887">
        <f t="shared" ca="1" si="157"/>
        <v>598654</v>
      </c>
      <c r="N347" s="887">
        <f t="shared" ca="1" si="157"/>
        <v>375085.06</v>
      </c>
      <c r="O347" s="887">
        <f t="shared" ca="1" si="155"/>
        <v>72.304159919808768</v>
      </c>
      <c r="P347" s="887">
        <f t="shared" ca="1" si="156"/>
        <v>62.654732115712918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8">L349+L350</f>
        <v>404960</v>
      </c>
      <c r="M348" s="881">
        <f t="shared" ca="1" si="158"/>
        <v>485054</v>
      </c>
      <c r="N348" s="881">
        <f t="shared" ca="1" si="158"/>
        <v>261485.06</v>
      </c>
      <c r="O348" s="881">
        <f t="shared" ca="1" si="155"/>
        <v>64.57058968787041</v>
      </c>
      <c r="P348" s="881">
        <f t="shared" ca="1" si="156"/>
        <v>53.908443183645531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5"/>
        <v>0</v>
      </c>
      <c r="P349" s="887">
        <f t="shared" si="156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IFERROR(__xludf.DUMMYFUNCTION("IMPORTRANGE(""https://docs.google.com/spreadsheets/d/1MeEWN-I1oV_STSDYn1IFDPWt_1FKiwhDph83XaGc0o0/edit?usp=sharing"",""งบพรบ!EW83"")"),404960)</f>
        <v>404960</v>
      </c>
      <c r="M350" s="887">
        <f ca="1">IFERROR(__xludf.DUMMYFUNCTION("IMPORTRANGE(""https://docs.google.com/spreadsheets/d/1MeEWN-I1oV_STSDYn1IFDPWt_1FKiwhDph83XaGc0o0/edit?usp=sharing"",""งบพรบ!FB83"")"),485054)</f>
        <v>485054</v>
      </c>
      <c r="N350" s="887">
        <f ca="1">IFERROR(__xludf.DUMMYFUNCTION("IMPORTRANGE(""https://docs.google.com/spreadsheets/d/1MeEWN-I1oV_STSDYn1IFDPWt_1FKiwhDph83XaGc0o0/edit?usp=sharing"",""งบพรบ!FD83"")"),261485.06)</f>
        <v>261485.06</v>
      </c>
      <c r="O350" s="887">
        <f t="shared" ca="1" si="155"/>
        <v>64.57058968787041</v>
      </c>
      <c r="P350" s="887">
        <f t="shared" ca="1" si="156"/>
        <v>53.908443183645531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59">L352+L353</f>
        <v>113800</v>
      </c>
      <c r="M351" s="881">
        <f t="shared" ca="1" si="159"/>
        <v>113600</v>
      </c>
      <c r="N351" s="881">
        <f t="shared" ca="1" si="159"/>
        <v>113600</v>
      </c>
      <c r="O351" s="881">
        <f t="shared" ca="1" si="155"/>
        <v>99.824253075571178</v>
      </c>
      <c r="P351" s="881">
        <f t="shared" ca="1" si="156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5"/>
        <v>0</v>
      </c>
      <c r="P352" s="887">
        <f t="shared" si="156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IFERROR(__xludf.DUMMYFUNCTION("IMPORTRANGE(""https://docs.google.com/spreadsheets/d/1MeEWN-I1oV_STSDYn1IFDPWt_1FKiwhDph83XaGc0o0/edit?usp=sharing"",""งบพรบ!EZ83"")"),113800)</f>
        <v>113800</v>
      </c>
      <c r="M353" s="887">
        <f ca="1">IFERROR(__xludf.DUMMYFUNCTION("IMPORTRANGE(""https://docs.google.com/spreadsheets/d/1MeEWN-I1oV_STSDYn1IFDPWt_1FKiwhDph83XaGc0o0/edit?usp=sharing"",""งบพรบ!FC83"")"),113600)</f>
        <v>113600</v>
      </c>
      <c r="N353" s="887">
        <f ca="1">IFERROR(__xludf.DUMMYFUNCTION("IMPORTRANGE(""https://docs.google.com/spreadsheets/d/1MeEWN-I1oV_STSDYn1IFDPWt_1FKiwhDph83XaGc0o0/edit?usp=sharing"",""งบพรบ!FE83"")"),113600)</f>
        <v>113600</v>
      </c>
      <c r="O353" s="887">
        <f t="shared" ca="1" si="155"/>
        <v>99.824253075571178</v>
      </c>
      <c r="P353" s="887">
        <f t="shared" ca="1" si="156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IFERROR(__xludf.DUMMYFUNCTION("IMPORTRANGE(""https://docs.google.com/spreadsheets/d/1QqKyyYR6Q21VydFLVH3TRQUabQu_ym0Zz7PgGX0-kHA/edit?usp=sharing"",""แผน!EP83"")"),10)</f>
        <v>10</v>
      </c>
      <c r="J355" s="1206">
        <f ca="1">J362</f>
        <v>14</v>
      </c>
      <c r="K355" s="1207">
        <f ca="1">IF(I355&gt;0,J355*100/I355,0)</f>
        <v>140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IFERROR(__xludf.DUMMYFUNCTION("IMPORTRANGE(""https://docs.google.com/spreadsheets/d/1XWAQStnk-4SwqDmLtmXYiTMKHgktTP8We1SCoS47DrQ/edit?usp=sharing"",""จัดที่ดิน!W83"")"),14)</f>
        <v>14</v>
      </c>
      <c r="K358" s="881">
        <f t="shared" ref="K358:K365" si="160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IFERROR(__xludf.DUMMYFUNCTION("IMPORTRANGE(""https://docs.google.com/spreadsheets/d/1QqKyyYR6Q21VydFLVH3TRQUabQu_ym0Zz7PgGX0-kHA/edit?usp=sharing"",""แผน!EO83"")"),35)</f>
        <v>35</v>
      </c>
      <c r="J359" s="880">
        <f ca="1">IFERROR(__xludf.DUMMYFUNCTION("IMPORTRANGE(""https://docs.google.com/spreadsheets/d/1XWAQStnk-4SwqDmLtmXYiTMKHgktTP8We1SCoS47DrQ/edit?usp=sharing"",""จัดที่ดิน!X83"")"),58.8)</f>
        <v>58.8</v>
      </c>
      <c r="K359" s="881">
        <f t="shared" ca="1" si="160"/>
        <v>168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IFERROR(__xludf.DUMMYFUNCTION("IMPORTRANGE(""https://docs.google.com/spreadsheets/d/1QqKyyYR6Q21VydFLVH3TRQUabQu_ym0Zz7PgGX0-kHA/edit?usp=sharing"",""แผน!EP83"")"),10)</f>
        <v>10</v>
      </c>
      <c r="J360" s="880">
        <f ca="1">IFERROR(__xludf.DUMMYFUNCTION("IMPORTRANGE(""https://docs.google.com/spreadsheets/d/1XWAQStnk-4SwqDmLtmXYiTMKHgktTP8We1SCoS47DrQ/edit?usp=sharing"",""จัดที่ดิน!Y83"")"),14)</f>
        <v>14</v>
      </c>
      <c r="K360" s="881">
        <f t="shared" ca="1" si="160"/>
        <v>140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IFERROR(__xludf.DUMMYFUNCTION("IMPORTRANGE(""https://docs.google.com/spreadsheets/d/1XWAQStnk-4SwqDmLtmXYiTMKHgktTP8We1SCoS47DrQ/edit?usp=sharing"",""จัดที่ดิน!Z83"")"),58.8)</f>
        <v>58.8</v>
      </c>
      <c r="K361" s="881">
        <f t="shared" si="160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IFERROR(__xludf.DUMMYFUNCTION("IMPORTRANGE(""https://docs.google.com/spreadsheets/d/1QqKyyYR6Q21VydFLVH3TRQUabQu_ym0Zz7PgGX0-kHA/edit?usp=sharing"",""แผน!EP83"")"),10)</f>
        <v>10</v>
      </c>
      <c r="J362" s="880">
        <f ca="1">IFERROR(__xludf.DUMMYFUNCTION("IMPORTRANGE(""https://docs.google.com/spreadsheets/d/1XWAQStnk-4SwqDmLtmXYiTMKHgktTP8We1SCoS47DrQ/edit?usp=sharing"",""จัดที่ดิน!AA83"")"),14)</f>
        <v>14</v>
      </c>
      <c r="K362" s="881">
        <f t="shared" ca="1" si="160"/>
        <v>140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IFERROR(__xludf.DUMMYFUNCTION("IMPORTRANGE(""https://docs.google.com/spreadsheets/d/1XWAQStnk-4SwqDmLtmXYiTMKHgktTP8We1SCoS47DrQ/edit?usp=sharing"",""จัดที่ดิน!AB83"")"),58.8)</f>
        <v>58.8</v>
      </c>
      <c r="K363" s="881">
        <f t="shared" si="160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1">I365+I374</f>
        <v>20</v>
      </c>
      <c r="J364" s="1219">
        <f t="shared" ca="1" si="161"/>
        <v>23</v>
      </c>
      <c r="K364" s="1220">
        <f t="shared" ca="1" si="160"/>
        <v>115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IFERROR(__xludf.DUMMYFUNCTION("IMPORTRANGE(""https://docs.google.com/spreadsheets/d/1QqKyyYR6Q21VydFLVH3TRQUabQu_ym0Zz7PgGX0-kHA/edit?usp=sharing"",""แผน!EJ83"")"),1)</f>
        <v>1</v>
      </c>
      <c r="J365" s="1227">
        <f ca="1">J372</f>
        <v>0</v>
      </c>
      <c r="K365" s="1228">
        <f t="shared" ca="1" si="160"/>
        <v>0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IFERROR(__xludf.DUMMYFUNCTION("IMPORTRANGE(""https://docs.google.com/spreadsheets/d/1XWAQStnk-4SwqDmLtmXYiTMKHgktTP8We1SCoS47DrQ/edit?usp=sharing"",""จัดที่ดิน!E83"")"),0)</f>
        <v>0</v>
      </c>
      <c r="K368" s="881">
        <f t="shared" ref="K368:K374" si="162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IFERROR(__xludf.DUMMYFUNCTION("IMPORTRANGE(""https://docs.google.com/spreadsheets/d/1QqKyyYR6Q21VydFLVH3TRQUabQu_ym0Zz7PgGX0-kHA/edit?usp=sharing"",""แผน!EI83"")"),3)</f>
        <v>3</v>
      </c>
      <c r="J369" s="880">
        <f ca="1">IFERROR(__xludf.DUMMYFUNCTION("IMPORTRANGE(""https://docs.google.com/spreadsheets/d/1XWAQStnk-4SwqDmLtmXYiTMKHgktTP8We1SCoS47DrQ/edit?usp=sharing"",""จัดที่ดิน!F83"")"),0)</f>
        <v>0</v>
      </c>
      <c r="K369" s="881">
        <f t="shared" ca="1" si="162"/>
        <v>0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IFERROR(__xludf.DUMMYFUNCTION("IMPORTRANGE(""https://docs.google.com/spreadsheets/d/1QqKyyYR6Q21VydFLVH3TRQUabQu_ym0Zz7PgGX0-kHA/edit?usp=sharing"",""แผน!EJ83"")"),1)</f>
        <v>1</v>
      </c>
      <c r="J370" s="880">
        <f ca="1">IFERROR(__xludf.DUMMYFUNCTION("IMPORTRANGE(""https://docs.google.com/spreadsheets/d/1XWAQStnk-4SwqDmLtmXYiTMKHgktTP8We1SCoS47DrQ/edit?usp=sharing"",""จัดที่ดิน!G83"")"),0)</f>
        <v>0</v>
      </c>
      <c r="K370" s="881">
        <f t="shared" ca="1" si="162"/>
        <v>0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IFERROR(__xludf.DUMMYFUNCTION("IMPORTRANGE(""https://docs.google.com/spreadsheets/d/1XWAQStnk-4SwqDmLtmXYiTMKHgktTP8We1SCoS47DrQ/edit?usp=sharing"",""จัดที่ดิน!H83"")"),0)</f>
        <v>0</v>
      </c>
      <c r="K371" s="881">
        <f t="shared" si="162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IFERROR(__xludf.DUMMYFUNCTION("IMPORTRANGE(""https://docs.google.com/spreadsheets/d/1QqKyyYR6Q21VydFLVH3TRQUabQu_ym0Zz7PgGX0-kHA/edit?usp=sharing"",""แผน!EJ83"")"),1)</f>
        <v>1</v>
      </c>
      <c r="J372" s="880">
        <f ca="1">IFERROR(__xludf.DUMMYFUNCTION("IMPORTRANGE(""https://docs.google.com/spreadsheets/d/1XWAQStnk-4SwqDmLtmXYiTMKHgktTP8We1SCoS47DrQ/edit?usp=sharing"",""จัดที่ดิน!I83"")"),0)</f>
        <v>0</v>
      </c>
      <c r="K372" s="881">
        <f t="shared" ca="1" si="162"/>
        <v>0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IFERROR(__xludf.DUMMYFUNCTION("IMPORTRANGE(""https://docs.google.com/spreadsheets/d/1XWAQStnk-4SwqDmLtmXYiTMKHgktTP8We1SCoS47DrQ/edit?usp=sharing"",""จัดที่ดิน!J83"")"),0)</f>
        <v>0</v>
      </c>
      <c r="K373" s="881">
        <f t="shared" si="162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IFERROR(__xludf.DUMMYFUNCTION("IMPORTRANGE(""https://docs.google.com/spreadsheets/d/1QqKyyYR6Q21VydFLVH3TRQUabQu_ym0Zz7PgGX0-kHA/edit?usp=sharing"",""แผน!EU83"")"),19)</f>
        <v>19</v>
      </c>
      <c r="J374" s="1227">
        <f ca="1">J381</f>
        <v>23</v>
      </c>
      <c r="K374" s="1228">
        <f t="shared" ca="1" si="162"/>
        <v>121.05263157894737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IFERROR(__xludf.DUMMYFUNCTION("IMPORTRANGE(""https://docs.google.com/spreadsheets/d/1XWAQStnk-4SwqDmLtmXYiTMKHgktTP8We1SCoS47DrQ/edit?usp=sharing"",""จัดที่ดิน!AH83"")"),14)</f>
        <v>14</v>
      </c>
      <c r="K377" s="881">
        <f t="shared" ref="K377:K382" si="163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IFERROR(__xludf.DUMMYFUNCTION("IMPORTRANGE(""https://docs.google.com/spreadsheets/d/1QqKyyYR6Q21VydFLVH3TRQUabQu_ym0Zz7PgGX0-kHA/edit?usp=sharing"",""แผน!ET83"")"),32)</f>
        <v>32</v>
      </c>
      <c r="J378" s="880">
        <f ca="1">IFERROR(__xludf.DUMMYFUNCTION("IMPORTRANGE(""https://docs.google.com/spreadsheets/d/1XWAQStnk-4SwqDmLtmXYiTMKHgktTP8We1SCoS47DrQ/edit?usp=sharing"",""จัดที่ดิน!AI83"")"),58.8)</f>
        <v>58.8</v>
      </c>
      <c r="K378" s="881">
        <f t="shared" ca="1" si="163"/>
        <v>183.75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IFERROR(__xludf.DUMMYFUNCTION("IMPORTRANGE(""https://docs.google.com/spreadsheets/d/1QqKyyYR6Q21VydFLVH3TRQUabQu_ym0Zz7PgGX0-kHA/edit?usp=sharing"",""แผน!EU83"")"),19)</f>
        <v>19</v>
      </c>
      <c r="J379" s="880">
        <f ca="1">IFERROR(__xludf.DUMMYFUNCTION("IMPORTRANGE(""https://docs.google.com/spreadsheets/d/1XWAQStnk-4SwqDmLtmXYiTMKHgktTP8We1SCoS47DrQ/edit?usp=sharing"",""จัดที่ดิน!AJ83"")"),23)</f>
        <v>23</v>
      </c>
      <c r="K379" s="881">
        <f t="shared" ca="1" si="163"/>
        <v>121.05263157894737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IFERROR(__xludf.DUMMYFUNCTION("IMPORTRANGE(""https://docs.google.com/spreadsheets/d/1XWAQStnk-4SwqDmLtmXYiTMKHgktTP8We1SCoS47DrQ/edit?usp=sharing"",""จัดที่ดิน!AK83"")"),196.26)</f>
        <v>196.26</v>
      </c>
      <c r="K380" s="881">
        <f t="shared" si="163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IFERROR(__xludf.DUMMYFUNCTION("IMPORTRANGE(""https://docs.google.com/spreadsheets/d/1QqKyyYR6Q21VydFLVH3TRQUabQu_ym0Zz7PgGX0-kHA/edit?usp=sharing"",""แผน!EU83"")"),19)</f>
        <v>19</v>
      </c>
      <c r="J381" s="880">
        <f ca="1">IFERROR(__xludf.DUMMYFUNCTION("IMPORTRANGE(""https://docs.google.com/spreadsheets/d/1XWAQStnk-4SwqDmLtmXYiTMKHgktTP8We1SCoS47DrQ/edit?usp=sharing"",""จัดที่ดิน!AL83"")"),23)</f>
        <v>23</v>
      </c>
      <c r="K381" s="881">
        <f t="shared" ca="1" si="163"/>
        <v>121.05263157894737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IFERROR(__xludf.DUMMYFUNCTION("IMPORTRANGE(""https://docs.google.com/spreadsheets/d/1XWAQStnk-4SwqDmLtmXYiTMKHgktTP8We1SCoS47DrQ/edit?usp=sharing"",""จัดที่ดิน!AM83"")"),196.26)</f>
        <v>196.26</v>
      </c>
      <c r="K382" s="881">
        <f t="shared" si="163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IFERROR(__xludf.DUMMYFUNCTION("IMPORTRANGE(""https://docs.google.com/spreadsheets/d/1QqKyyYR6Q21VydFLVH3TRQUabQu_ym0Zz7PgGX0-kHA/edit?usp=sharing"",""แผน!EW83"")"),2)</f>
        <v>2</v>
      </c>
      <c r="J385" s="1138">
        <f ca="1">IFERROR(__xludf.DUMMYFUNCTION("IMPORTRANGE(""https://docs.google.com/spreadsheets/d/1XWAQStnk-4SwqDmLtmXYiTMKHgktTP8We1SCoS47DrQ/edit?usp=sharing"",""จัดที่ดิน!AP83"")"),2)</f>
        <v>2</v>
      </c>
      <c r="K385" s="1239">
        <f ca="1">IF(I385&gt;0,J385*100/I385,0)</f>
        <v>100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4">I400</f>
        <v>0</v>
      </c>
      <c r="J388" s="1258">
        <f t="shared" si="164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5">L390+L391</f>
        <v>0</v>
      </c>
      <c r="M389" s="992">
        <f t="shared" ca="1" si="165"/>
        <v>0</v>
      </c>
      <c r="N389" s="992">
        <f t="shared" ca="1" si="165"/>
        <v>0</v>
      </c>
      <c r="O389" s="992">
        <f t="shared" ref="O389:O397" ca="1" si="166">IF(L389&gt;0,N389*100/L389,0)</f>
        <v>0</v>
      </c>
      <c r="P389" s="992">
        <f t="shared" ref="P389:P397" ca="1" si="167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8">L393+L396</f>
        <v>0</v>
      </c>
      <c r="M390" s="887">
        <f t="shared" si="168"/>
        <v>0</v>
      </c>
      <c r="N390" s="887">
        <f t="shared" si="168"/>
        <v>0</v>
      </c>
      <c r="O390" s="887">
        <f t="shared" si="166"/>
        <v>0</v>
      </c>
      <c r="P390" s="887">
        <f t="shared" si="167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8"/>
        <v>0</v>
      </c>
      <c r="M391" s="887">
        <f t="shared" ca="1" si="168"/>
        <v>0</v>
      </c>
      <c r="N391" s="887">
        <f t="shared" ca="1" si="168"/>
        <v>0</v>
      </c>
      <c r="O391" s="887">
        <f t="shared" ca="1" si="166"/>
        <v>0</v>
      </c>
      <c r="P391" s="887">
        <f t="shared" ca="1" si="167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69">L393+L394</f>
        <v>0</v>
      </c>
      <c r="M392" s="881">
        <f t="shared" ca="1" si="169"/>
        <v>0</v>
      </c>
      <c r="N392" s="881">
        <f t="shared" ca="1" si="169"/>
        <v>0</v>
      </c>
      <c r="O392" s="881">
        <f t="shared" ca="1" si="166"/>
        <v>0</v>
      </c>
      <c r="P392" s="881">
        <f t="shared" ca="1" si="167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6"/>
        <v>0</v>
      </c>
      <c r="P393" s="887">
        <f t="shared" si="167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IFERROR(__xludf.DUMMYFUNCTION("IMPORTRANGE(""https://docs.google.com/spreadsheets/d/1MeEWN-I1oV_STSDYn1IFDPWt_1FKiwhDph83XaGc0o0/edit?usp=sharing"",""งบพรบ!FG83"")"),0)</f>
        <v>0</v>
      </c>
      <c r="M394" s="887">
        <f ca="1">IFERROR(__xludf.DUMMYFUNCTION("IMPORTRANGE(""https://docs.google.com/spreadsheets/d/1MeEWN-I1oV_STSDYn1IFDPWt_1FKiwhDph83XaGc0o0/edit?usp=sharing"",""งบพรบ!FL83"")"),0)</f>
        <v>0</v>
      </c>
      <c r="N394" s="887">
        <f ca="1">IFERROR(__xludf.DUMMYFUNCTION("IMPORTRANGE(""https://docs.google.com/spreadsheets/d/1MeEWN-I1oV_STSDYn1IFDPWt_1FKiwhDph83XaGc0o0/edit?usp=sharing"",""งบพรบ!FN83"")"),0)</f>
        <v>0</v>
      </c>
      <c r="O394" s="887">
        <f t="shared" ca="1" si="166"/>
        <v>0</v>
      </c>
      <c r="P394" s="887">
        <f t="shared" ca="1" si="167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0">L396+L397</f>
        <v>0</v>
      </c>
      <c r="M395" s="881">
        <f t="shared" ca="1" si="170"/>
        <v>0</v>
      </c>
      <c r="N395" s="881">
        <f t="shared" ca="1" si="170"/>
        <v>0</v>
      </c>
      <c r="O395" s="881">
        <f t="shared" ca="1" si="166"/>
        <v>0</v>
      </c>
      <c r="P395" s="881">
        <f t="shared" ca="1" si="167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6"/>
        <v>0</v>
      </c>
      <c r="P396" s="887">
        <f t="shared" si="167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IFERROR(__xludf.DUMMYFUNCTION("IMPORTRANGE(""https://docs.google.com/spreadsheets/d/1MeEWN-I1oV_STSDYn1IFDPWt_1FKiwhDph83XaGc0o0/edit?usp=sharing"",""งบพรบ!FJ83"")"),0)</f>
        <v>0</v>
      </c>
      <c r="M397" s="887">
        <f ca="1">IFERROR(__xludf.DUMMYFUNCTION("IMPORTRANGE(""https://docs.google.com/spreadsheets/d/1MeEWN-I1oV_STSDYn1IFDPWt_1FKiwhDph83XaGc0o0/edit?usp=sharing"",""งบพรบ!FM83"")"),0)</f>
        <v>0</v>
      </c>
      <c r="N397" s="887">
        <f ca="1">IFERROR(__xludf.DUMMYFUNCTION("IMPORTRANGE(""https://docs.google.com/spreadsheets/d/1MeEWN-I1oV_STSDYn1IFDPWt_1FKiwhDph83XaGc0o0/edit?usp=sharing"",""งบพรบ!FO83"")"),0)</f>
        <v>0</v>
      </c>
      <c r="O397" s="887">
        <f t="shared" ca="1" si="166"/>
        <v>0</v>
      </c>
      <c r="P397" s="887">
        <f t="shared" ca="1" si="167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1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1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2">I412</f>
        <v>0</v>
      </c>
      <c r="J401" s="1258">
        <f t="shared" si="172"/>
        <v>0</v>
      </c>
      <c r="K401" s="1259">
        <f t="shared" si="171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3">L403+L404</f>
        <v>0</v>
      </c>
      <c r="M402" s="992">
        <f t="shared" ca="1" si="173"/>
        <v>0</v>
      </c>
      <c r="N402" s="992">
        <f t="shared" ca="1" si="173"/>
        <v>0</v>
      </c>
      <c r="O402" s="992">
        <f t="shared" ref="O402:O410" ca="1" si="174">IF(L402&gt;0,N402*100/L402,0)</f>
        <v>0</v>
      </c>
      <c r="P402" s="992">
        <f t="shared" ref="P402:P410" ca="1" si="175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6">L406+L409</f>
        <v>0</v>
      </c>
      <c r="M403" s="887">
        <f t="shared" si="176"/>
        <v>0</v>
      </c>
      <c r="N403" s="887">
        <f t="shared" si="176"/>
        <v>0</v>
      </c>
      <c r="O403" s="887">
        <f t="shared" si="174"/>
        <v>0</v>
      </c>
      <c r="P403" s="887">
        <f t="shared" si="175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6"/>
        <v>0</v>
      </c>
      <c r="M404" s="887">
        <f t="shared" ca="1" si="176"/>
        <v>0</v>
      </c>
      <c r="N404" s="887">
        <f t="shared" ca="1" si="176"/>
        <v>0</v>
      </c>
      <c r="O404" s="887">
        <f t="shared" ca="1" si="174"/>
        <v>0</v>
      </c>
      <c r="P404" s="887">
        <f t="shared" ca="1" si="175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7">L406+L407</f>
        <v>0</v>
      </c>
      <c r="M405" s="881">
        <f t="shared" ca="1" si="177"/>
        <v>0</v>
      </c>
      <c r="N405" s="881">
        <f t="shared" ca="1" si="177"/>
        <v>0</v>
      </c>
      <c r="O405" s="881">
        <f t="shared" ca="1" si="174"/>
        <v>0</v>
      </c>
      <c r="P405" s="881">
        <f t="shared" ca="1" si="175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4"/>
        <v>0</v>
      </c>
      <c r="P406" s="887">
        <f t="shared" si="175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IFERROR(__xludf.DUMMYFUNCTION("IMPORTRANGE(""https://docs.google.com/spreadsheets/d/1MeEWN-I1oV_STSDYn1IFDPWt_1FKiwhDph83XaGc0o0/edit?usp=sharing"",""งบพรบ!FQ83"")"),0)</f>
        <v>0</v>
      </c>
      <c r="M407" s="887">
        <f ca="1">IFERROR(__xludf.DUMMYFUNCTION("IMPORTRANGE(""https://docs.google.com/spreadsheets/d/1MeEWN-I1oV_STSDYn1IFDPWt_1FKiwhDph83XaGc0o0/edit?usp=sharing"",""งบพรบ!FV83"")"),0)</f>
        <v>0</v>
      </c>
      <c r="N407" s="887">
        <f ca="1">IFERROR(__xludf.DUMMYFUNCTION("IMPORTRANGE(""https://docs.google.com/spreadsheets/d/1MeEWN-I1oV_STSDYn1IFDPWt_1FKiwhDph83XaGc0o0/edit?usp=sharing"",""งบพรบ!FX83"")"),0)</f>
        <v>0</v>
      </c>
      <c r="O407" s="887">
        <f t="shared" ca="1" si="174"/>
        <v>0</v>
      </c>
      <c r="P407" s="887">
        <f t="shared" ca="1" si="175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8">L409+L410</f>
        <v>0</v>
      </c>
      <c r="M408" s="881">
        <f t="shared" ca="1" si="178"/>
        <v>0</v>
      </c>
      <c r="N408" s="881">
        <f t="shared" ca="1" si="178"/>
        <v>0</v>
      </c>
      <c r="O408" s="881">
        <f t="shared" ca="1" si="174"/>
        <v>0</v>
      </c>
      <c r="P408" s="881">
        <f t="shared" ca="1" si="175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4"/>
        <v>0</v>
      </c>
      <c r="P409" s="887">
        <f t="shared" si="175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IFERROR(__xludf.DUMMYFUNCTION("IMPORTRANGE(""https://docs.google.com/spreadsheets/d/1MeEWN-I1oV_STSDYn1IFDPWt_1FKiwhDph83XaGc0o0/edit?usp=sharing"",""งบพรบ!FT83"")"),0)</f>
        <v>0</v>
      </c>
      <c r="M410" s="887">
        <f ca="1">IFERROR(__xludf.DUMMYFUNCTION("IMPORTRANGE(""https://docs.google.com/spreadsheets/d/1MeEWN-I1oV_STSDYn1IFDPWt_1FKiwhDph83XaGc0o0/edit?usp=sharing"",""งบพรบ!FW83"")"),0)</f>
        <v>0</v>
      </c>
      <c r="N410" s="887">
        <f ca="1">IFERROR(__xludf.DUMMYFUNCTION("IMPORTRANGE(""https://docs.google.com/spreadsheets/d/1MeEWN-I1oV_STSDYn1IFDPWt_1FKiwhDph83XaGc0o0/edit?usp=sharing"",""งบพรบ!FY83"")"),0)</f>
        <v>0</v>
      </c>
      <c r="O410" s="887">
        <f t="shared" ca="1" si="174"/>
        <v>0</v>
      </c>
      <c r="P410" s="887">
        <f t="shared" ca="1" si="175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79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79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0">L419+L444+L467+L502+L523+L544+L629+L655+L685+L737+L754+L770+L786+L805</f>
        <v>350883</v>
      </c>
      <c r="M414" s="1281">
        <f t="shared" ca="1" si="180"/>
        <v>350883</v>
      </c>
      <c r="N414" s="1281">
        <f t="shared" si="180"/>
        <v>132351.5</v>
      </c>
      <c r="O414" s="1281">
        <f ca="1">IF(L414&gt;0,N414*100/L414,0)</f>
        <v>37.719553241393854</v>
      </c>
      <c r="P414" s="1281">
        <f ca="1">IF(M414&gt;0,N414*100/M414,0)</f>
        <v>37.719553241393854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1">I433</f>
        <v>10</v>
      </c>
      <c r="J417" s="1294">
        <f t="shared" ca="1" si="181"/>
        <v>10</v>
      </c>
      <c r="K417" s="1295">
        <f t="shared" ref="K417:K418" ca="1" si="182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1"/>
        <v>1</v>
      </c>
      <c r="J418" s="1294">
        <f t="shared" si="181"/>
        <v>1</v>
      </c>
      <c r="K418" s="1295">
        <f t="shared" ca="1" si="182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3">L420+L421</f>
        <v>54560</v>
      </c>
      <c r="M419" s="992">
        <f t="shared" ca="1" si="183"/>
        <v>54560</v>
      </c>
      <c r="N419" s="992">
        <f t="shared" si="183"/>
        <v>39195</v>
      </c>
      <c r="O419" s="992">
        <f t="shared" ref="O419:O424" ca="1" si="184">IF(L419&gt;0,N419*100/L419,0)</f>
        <v>71.838343108504404</v>
      </c>
      <c r="P419" s="992">
        <f t="shared" ref="P419:P424" ca="1" si="185">IF(M419&gt;0,N419*100/M419,0)</f>
        <v>71.838343108504404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6">L423+L430</f>
        <v>0</v>
      </c>
      <c r="M420" s="887">
        <f t="shared" si="186"/>
        <v>0</v>
      </c>
      <c r="N420" s="887">
        <f t="shared" si="186"/>
        <v>0</v>
      </c>
      <c r="O420" s="887">
        <f t="shared" si="184"/>
        <v>0</v>
      </c>
      <c r="P420" s="887">
        <f t="shared" si="185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6"/>
        <v>54560</v>
      </c>
      <c r="M421" s="887">
        <f t="shared" ca="1" si="186"/>
        <v>54560</v>
      </c>
      <c r="N421" s="887">
        <f t="shared" si="186"/>
        <v>39195</v>
      </c>
      <c r="O421" s="887">
        <f t="shared" ca="1" si="184"/>
        <v>71.838343108504404</v>
      </c>
      <c r="P421" s="887">
        <f t="shared" ca="1" si="185"/>
        <v>71.838343108504404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7">L423+L424</f>
        <v>54560</v>
      </c>
      <c r="M422" s="881">
        <f t="shared" ca="1" si="187"/>
        <v>54560</v>
      </c>
      <c r="N422" s="881">
        <f t="shared" si="187"/>
        <v>39195</v>
      </c>
      <c r="O422" s="881">
        <f t="shared" ca="1" si="184"/>
        <v>71.838343108504404</v>
      </c>
      <c r="P422" s="881">
        <f t="shared" ca="1" si="185"/>
        <v>71.838343108504404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4"/>
        <v>0</v>
      </c>
      <c r="P423" s="887">
        <f t="shared" si="185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IFERROR(__xludf.DUMMYFUNCTION("IMPORTRANGE(""https://docs.google.com/spreadsheets/d/1QqKyyYR6Q21VydFLVH3TRQUabQu_ym0Zz7PgGX0-kHA/edit?usp=sharing"",""แผน!EY83"")"),54560)</f>
        <v>54560</v>
      </c>
      <c r="M424" s="887">
        <f ca="1">L424</f>
        <v>54560</v>
      </c>
      <c r="N424" s="887">
        <f>N425+N426+N427+N428</f>
        <v>39195</v>
      </c>
      <c r="O424" s="887">
        <f t="shared" ca="1" si="184"/>
        <v>71.838343108504404</v>
      </c>
      <c r="P424" s="887">
        <f t="shared" ca="1" si="185"/>
        <v>71.838343108504404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24300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14895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8">L430+L431</f>
        <v>0</v>
      </c>
      <c r="M429" s="881">
        <f t="shared" si="188"/>
        <v>0</v>
      </c>
      <c r="N429" s="881">
        <f t="shared" si="188"/>
        <v>0</v>
      </c>
      <c r="O429" s="881">
        <f t="shared" ref="O429:O431" ca="1" si="189">IF(L429&gt;0,N429*100/L429,0)</f>
        <v>0</v>
      </c>
      <c r="P429" s="881">
        <f t="shared" ref="P429:P431" si="190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89"/>
        <v>0</v>
      </c>
      <c r="P430" s="887">
        <f t="shared" si="190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IFERROR(__xludf.DUMMYFUNCTION("IMPORTRANGE(""https://docs.google.com/spreadsheets/d/1QqKyyYR6Q21VydFLVH3TRQUabQu_ym0Zz7PgGX0-kHA/edit?usp=sharing"",""แผน!FB83"")"),0)</f>
        <v>0</v>
      </c>
      <c r="M431" s="887">
        <v>0</v>
      </c>
      <c r="N431" s="887">
        <v>0</v>
      </c>
      <c r="O431" s="887">
        <f t="shared" ca="1" si="189"/>
        <v>0</v>
      </c>
      <c r="P431" s="887">
        <f t="shared" si="190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10</v>
      </c>
      <c r="J433" s="1019">
        <f ca="1">IF(AND(J435=I435,J437=I437,J439=I439),I437+I439,IF(AND(J435=I437,J437=I437),I437,IF(AND(J435=I439,J439=I439),I439,0)))</f>
        <v>10</v>
      </c>
      <c r="K433" s="1020">
        <f t="shared" ref="K433:K435" ca="1" si="191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2">I438+I440</f>
        <v>1</v>
      </c>
      <c r="J434" s="1019">
        <f t="shared" si="192"/>
        <v>1</v>
      </c>
      <c r="K434" s="1020">
        <f t="shared" ca="1" si="191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IFERROR(__xludf.DUMMYFUNCTION("IMPORTRANGE(""https://docs.google.com/spreadsheets/d/1QqKyyYR6Q21VydFLVH3TRQUabQu_ym0Zz7PgGX0-kHA/edit?usp=sharing"",""แผน!FC83"")"),10)</f>
        <v>10</v>
      </c>
      <c r="J435" s="583">
        <v>10</v>
      </c>
      <c r="K435" s="881">
        <f t="shared" ca="1" si="191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IFERROR(__xludf.DUMMYFUNCTION("IMPORTRANGE(""https://docs.google.com/spreadsheets/d/1QqKyyYR6Q21VydFLVH3TRQUabQu_ym0Zz7PgGX0-kHA/edit?usp=sharing"",""แผน!FD83"")"),0)</f>
        <v>0</v>
      </c>
      <c r="J437" s="583">
        <v>0</v>
      </c>
      <c r="K437" s="881">
        <f t="shared" ref="K437:K443" ca="1" si="193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IFERROR(__xludf.DUMMYFUNCTION("IMPORTRANGE(""https://docs.google.com/spreadsheets/d/1QqKyyYR6Q21VydFLVH3TRQUabQu_ym0Zz7PgGX0-kHA/edit?usp=sharing"",""แผน!FE83"")"),0)</f>
        <v>0</v>
      </c>
      <c r="J438" s="1012">
        <v>0</v>
      </c>
      <c r="K438" s="881">
        <f t="shared" ca="1" si="193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IFERROR(__xludf.DUMMYFUNCTION("IMPORTRANGE(""https://docs.google.com/spreadsheets/d/1QqKyyYR6Q21VydFLVH3TRQUabQu_ym0Zz7PgGX0-kHA/edit?usp=sharing"",""แผน!FF83"")"),10)</f>
        <v>10</v>
      </c>
      <c r="J439" s="583">
        <v>10</v>
      </c>
      <c r="K439" s="881">
        <f t="shared" ca="1" si="193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IFERROR(__xludf.DUMMYFUNCTION("IMPORTRANGE(""https://docs.google.com/spreadsheets/d/1QqKyyYR6Q21VydFLVH3TRQUabQu_ym0Zz7PgGX0-kHA/edit?usp=sharing"",""แผน!FG83"")"),1)</f>
        <v>1</v>
      </c>
      <c r="J440" s="1012">
        <v>1</v>
      </c>
      <c r="K440" s="881">
        <f t="shared" ca="1" si="193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IFERROR(__xludf.DUMMYFUNCTION("IMPORTRANGE(""https://docs.google.com/spreadsheets/d/1QqKyyYR6Q21VydFLVH3TRQUabQu_ym0Zz7PgGX0-kHA/edit?usp=sharing"",""แผน!FH83"")"),0)</f>
        <v>0</v>
      </c>
      <c r="J441" s="880">
        <v>0</v>
      </c>
      <c r="K441" s="881">
        <f t="shared" ca="1" si="193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4">I460</f>
        <v>20</v>
      </c>
      <c r="J442" s="1310">
        <f t="shared" si="194"/>
        <v>20</v>
      </c>
      <c r="K442" s="1311">
        <f t="shared" ca="1" si="193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5">I462</f>
        <v>40</v>
      </c>
      <c r="J443" s="1294">
        <f t="shared" si="195"/>
        <v>40</v>
      </c>
      <c r="K443" s="1295">
        <f t="shared" ca="1" si="193"/>
        <v>100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6">L445+L446</f>
        <v>109560</v>
      </c>
      <c r="M444" s="1020">
        <f t="shared" ca="1" si="196"/>
        <v>109560</v>
      </c>
      <c r="N444" s="1020">
        <f t="shared" si="196"/>
        <v>49070</v>
      </c>
      <c r="O444" s="1020">
        <f t="shared" ref="O444:O449" ca="1" si="197">IF(L444&gt;0,N444*100/L444,0)</f>
        <v>44.788243884629424</v>
      </c>
      <c r="P444" s="1020">
        <f t="shared" ref="P444:P449" ca="1" si="198">IF(M444&gt;0,N444*100/M444,0)</f>
        <v>44.788243884629424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199">L448+L455</f>
        <v>0</v>
      </c>
      <c r="M445" s="887">
        <f t="shared" si="199"/>
        <v>0</v>
      </c>
      <c r="N445" s="887">
        <f t="shared" si="199"/>
        <v>0</v>
      </c>
      <c r="O445" s="887">
        <f t="shared" si="197"/>
        <v>0</v>
      </c>
      <c r="P445" s="887">
        <f t="shared" si="198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199"/>
        <v>109560</v>
      </c>
      <c r="M446" s="887">
        <f t="shared" ca="1" si="199"/>
        <v>109560</v>
      </c>
      <c r="N446" s="887">
        <f t="shared" si="199"/>
        <v>49070</v>
      </c>
      <c r="O446" s="887">
        <f t="shared" ca="1" si="197"/>
        <v>44.788243884629424</v>
      </c>
      <c r="P446" s="887">
        <f t="shared" ca="1" si="198"/>
        <v>44.788243884629424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0">L448+L449</f>
        <v>109560</v>
      </c>
      <c r="M447" s="881">
        <f t="shared" ca="1" si="200"/>
        <v>109560</v>
      </c>
      <c r="N447" s="881">
        <f t="shared" si="200"/>
        <v>49070</v>
      </c>
      <c r="O447" s="881">
        <f t="shared" ca="1" si="197"/>
        <v>44.788243884629424</v>
      </c>
      <c r="P447" s="881">
        <f t="shared" ca="1" si="198"/>
        <v>44.788243884629424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7"/>
        <v>0</v>
      </c>
      <c r="P448" s="887">
        <f t="shared" si="198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IFERROR(__xludf.DUMMYFUNCTION("IMPORTRANGE(""https://docs.google.com/spreadsheets/d/1QqKyyYR6Q21VydFLVH3TRQUabQu_ym0Zz7PgGX0-kHA/edit?usp=sharing"",""แผน!FJ83"")"),109560)</f>
        <v>109560</v>
      </c>
      <c r="M449" s="887">
        <f ca="1">L449</f>
        <v>109560</v>
      </c>
      <c r="N449" s="887">
        <f>N450+N451+N452+N453</f>
        <v>49070</v>
      </c>
      <c r="O449" s="887">
        <f t="shared" ca="1" si="197"/>
        <v>44.788243884629424</v>
      </c>
      <c r="P449" s="887">
        <f t="shared" ca="1" si="198"/>
        <v>44.788243884629424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29600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19470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1">L455+L456</f>
        <v>0</v>
      </c>
      <c r="M454" s="881">
        <f t="shared" si="201"/>
        <v>0</v>
      </c>
      <c r="N454" s="881">
        <f t="shared" si="201"/>
        <v>0</v>
      </c>
      <c r="O454" s="881">
        <f t="shared" ref="O454:O456" ca="1" si="202">IF(L454&gt;0,N454*100/L454,0)</f>
        <v>0</v>
      </c>
      <c r="P454" s="881">
        <f t="shared" ref="P454:P456" si="203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2"/>
        <v>0</v>
      </c>
      <c r="P455" s="887">
        <f t="shared" si="203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IFERROR(__xludf.DUMMYFUNCTION("IMPORTRANGE(""https://docs.google.com/spreadsheets/d/1QqKyyYR6Q21VydFLVH3TRQUabQu_ym0Zz7PgGX0-kHA/edit?usp=sharing"",""แผน!FM83"")"),0)</f>
        <v>0</v>
      </c>
      <c r="M456" s="887">
        <v>0</v>
      </c>
      <c r="N456" s="887">
        <v>0</v>
      </c>
      <c r="O456" s="887">
        <f t="shared" ca="1" si="202"/>
        <v>0</v>
      </c>
      <c r="P456" s="887">
        <f t="shared" si="203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IFERROR(__xludf.DUMMYFUNCTION("IMPORTRANGE(""https://docs.google.com/spreadsheets/d/1QqKyyYR6Q21VydFLVH3TRQUabQu_ym0Zz7PgGX0-kHA/edit?usp=sharing"",""แผน!FN83"")"),20)</f>
        <v>20</v>
      </c>
      <c r="J460" s="1012">
        <v>20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IFERROR(__xludf.DUMMYFUNCTION("IMPORTRANGE(""https://docs.google.com/spreadsheets/d/1QqKyyYR6Q21VydFLVH3TRQUabQu_ym0Zz7PgGX0-kHA/edit?usp=sharing"",""แผน!FO83"")"),40)</f>
        <v>40</v>
      </c>
      <c r="J462" s="1012">
        <v>40</v>
      </c>
      <c r="K462" s="881">
        <f ca="1">IF(I462&gt;0,J462*100/I462,0)</f>
        <v>100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IFERROR(__xludf.DUMMYFUNCTION("IMPORTRANGE(""https://docs.google.com/spreadsheets/d/1QqKyyYR6Q21VydFLVH3TRQUabQu_ym0Zz7PgGX0-kHA/edit?usp=sharing"",""แผน!FO83"")"),40)</f>
        <v>40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IFERROR(__xludf.DUMMYFUNCTION("IMPORTRANGE(""https://docs.google.com/spreadsheets/d/1QqKyyYR6Q21VydFLVH3TRQUabQu_ym0Zz7PgGX0-kHA/edit?usp=sharing"",""แผน!FN83"")"),20)</f>
        <v>20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IFERROR(__xludf.DUMMYFUNCTION("IMPORTRANGE(""https://docs.google.com/spreadsheets/d/1QqKyyYR6Q21VydFLVH3TRQUabQu_ym0Zz7PgGX0-kHA/edit?usp=sharing"",""แผน!FX83"")"),11)</f>
        <v>11</v>
      </c>
      <c r="J465" s="1310">
        <f>J485+J489+J492</f>
        <v>11</v>
      </c>
      <c r="K465" s="1311">
        <f t="shared" ref="K465:K466" ca="1" si="204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IFERROR(__xludf.DUMMYFUNCTION("IMPORTRANGE(""https://docs.google.com/spreadsheets/d/1QqKyyYR6Q21VydFLVH3TRQUabQu_ym0Zz7PgGX0-kHA/edit?usp=sharing"",""แผน!FW83"")"),100)</f>
        <v>100</v>
      </c>
      <c r="J466" s="1294">
        <f>J495+J498</f>
        <v>0</v>
      </c>
      <c r="K466" s="1295">
        <f t="shared" ca="1" si="204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5">L468+L469</f>
        <v>111463</v>
      </c>
      <c r="M467" s="1020">
        <f t="shared" ca="1" si="205"/>
        <v>111463</v>
      </c>
      <c r="N467" s="1020">
        <f t="shared" si="205"/>
        <v>36230</v>
      </c>
      <c r="O467" s="1020">
        <f t="shared" ref="O467:O472" ca="1" si="206">IF(L467&gt;0,N467*100/L467,0)</f>
        <v>32.504059643110267</v>
      </c>
      <c r="P467" s="1020">
        <f t="shared" ref="P467:P472" ca="1" si="207">IF(M467&gt;0,N467*100/M467,0)</f>
        <v>32.504059643110267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8">L471+L478</f>
        <v>0</v>
      </c>
      <c r="M468" s="887">
        <f t="shared" si="208"/>
        <v>0</v>
      </c>
      <c r="N468" s="887">
        <f t="shared" si="208"/>
        <v>0</v>
      </c>
      <c r="O468" s="887">
        <f t="shared" si="206"/>
        <v>0</v>
      </c>
      <c r="P468" s="887">
        <f t="shared" si="207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8"/>
        <v>111463</v>
      </c>
      <c r="M469" s="887">
        <f t="shared" ca="1" si="208"/>
        <v>111463</v>
      </c>
      <c r="N469" s="887">
        <f t="shared" si="208"/>
        <v>36230</v>
      </c>
      <c r="O469" s="887">
        <f t="shared" ca="1" si="206"/>
        <v>32.504059643110267</v>
      </c>
      <c r="P469" s="887">
        <f t="shared" ca="1" si="207"/>
        <v>32.504059643110267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09">L471+L472</f>
        <v>111463</v>
      </c>
      <c r="M470" s="881">
        <f t="shared" ca="1" si="209"/>
        <v>111463</v>
      </c>
      <c r="N470" s="881">
        <f t="shared" si="209"/>
        <v>36230</v>
      </c>
      <c r="O470" s="881">
        <f t="shared" ca="1" si="206"/>
        <v>32.504059643110267</v>
      </c>
      <c r="P470" s="881">
        <f t="shared" ca="1" si="207"/>
        <v>32.504059643110267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6"/>
        <v>0</v>
      </c>
      <c r="P471" s="887">
        <f t="shared" si="207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IFERROR(__xludf.DUMMYFUNCTION("IMPORTRANGE(""https://docs.google.com/spreadsheets/d/1QqKyyYR6Q21VydFLVH3TRQUabQu_ym0Zz7PgGX0-kHA/edit?usp=sharing"",""แผน!FS83"")"),111463)</f>
        <v>111463</v>
      </c>
      <c r="M472" s="887">
        <f ca="1">L472</f>
        <v>111463</v>
      </c>
      <c r="N472" s="887">
        <f>N473+N474+N475+N476</f>
        <v>36230</v>
      </c>
      <c r="O472" s="887">
        <f t="shared" ca="1" si="206"/>
        <v>32.504059643110267</v>
      </c>
      <c r="P472" s="887">
        <f t="shared" ca="1" si="207"/>
        <v>32.504059643110267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13040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v>23190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0">L478+L479</f>
        <v>0</v>
      </c>
      <c r="M477" s="881">
        <f t="shared" si="210"/>
        <v>0</v>
      </c>
      <c r="N477" s="881">
        <f t="shared" si="210"/>
        <v>0</v>
      </c>
      <c r="O477" s="881">
        <f t="shared" ref="O477:O479" ca="1" si="211">IF(L477&gt;0,N477*100/L477,0)</f>
        <v>0</v>
      </c>
      <c r="P477" s="881">
        <f t="shared" ref="P477:P479" si="212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1"/>
        <v>0</v>
      </c>
      <c r="P478" s="887">
        <f t="shared" si="212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IFERROR(__xludf.DUMMYFUNCTION("IMPORTRANGE(""https://docs.google.com/spreadsheets/d/1QqKyyYR6Q21VydFLVH3TRQUabQu_ym0Zz7PgGX0-kHA/edit?usp=sharing"",""แผน!FV83"")"),0)</f>
        <v>0</v>
      </c>
      <c r="M479" s="887">
        <v>0</v>
      </c>
      <c r="N479" s="887">
        <v>0</v>
      </c>
      <c r="O479" s="887">
        <f t="shared" ca="1" si="211"/>
        <v>0</v>
      </c>
      <c r="P479" s="887">
        <f t="shared" si="212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IFERROR(__xludf.DUMMYFUNCTION("IMPORTRANGE(""https://docs.google.com/spreadsheets/d/1QqKyyYR6Q21VydFLVH3TRQUabQu_ym0Zz7PgGX0-kHA/edit?usp=sharing"",""แผน!FY83"")"),90)</f>
        <v>90</v>
      </c>
      <c r="J483" s="1012">
        <v>90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9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IFERROR(__xludf.DUMMYFUNCTION("IMPORTRANGE(""https://docs.google.com/spreadsheets/d/1QqKyyYR6Q21VydFLVH3TRQUabQu_ym0Zz7PgGX0-kHA/edit?usp=sharing"",""แผน!FZ83"")"),9)</f>
        <v>9</v>
      </c>
      <c r="J485" s="1012">
        <v>9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IFERROR(__xludf.DUMMYFUNCTION("IMPORTRANGE(""https://docs.google.com/spreadsheets/d/1QqKyyYR6Q21VydFLVH3TRQUabQu_ym0Zz7PgGX0-kHA/edit?usp=sharing"",""แผน!GA83"")"),10)</f>
        <v>10</v>
      </c>
      <c r="J487" s="1012">
        <v>10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1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IFERROR(__xludf.DUMMYFUNCTION("IMPORTRANGE(""https://docs.google.com/spreadsheets/d/1QqKyyYR6Q21VydFLVH3TRQUabQu_ym0Zz7PgGX0-kHA/edit?usp=sharing"",""แผน!GB83"")"),1)</f>
        <v>1</v>
      </c>
      <c r="J489" s="1012">
        <v>1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IFERROR(__xludf.DUMMYFUNCTION("IMPORTRANGE(""https://docs.google.com/spreadsheets/d/1QqKyyYR6Q21VydFLVH3TRQUabQu_ym0Zz7PgGX0-kHA/edit?usp=sharing"",""แผน!GC83"")"),1)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IFERROR(__xludf.DUMMYFUNCTION("IMPORTRANGE(""https://docs.google.com/spreadsheets/d/1QqKyyYR6Q21VydFLVH3TRQUabQu_ym0Zz7PgGX0-kHA/edit?usp=sharing"",""แผน!FY83"")"),90)</f>
        <v>90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IFERROR(__xludf.DUMMYFUNCTION("IMPORTRANGE(""https://docs.google.com/spreadsheets/d/1QqKyyYR6Q21VydFLVH3TRQUabQu_ym0Zz7PgGX0-kHA/edit?usp=sharing"",""แผน!GA83"")"),10)</f>
        <v>10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3">J516</f>
        <v>0</v>
      </c>
      <c r="K500" s="1342">
        <f t="shared" ref="K500:K501" si="214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3"/>
        <v>0</v>
      </c>
      <c r="K501" s="1349">
        <f t="shared" si="214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5">L503+L504</f>
        <v>0</v>
      </c>
      <c r="M502" s="1352">
        <f t="shared" si="215"/>
        <v>0</v>
      </c>
      <c r="N502" s="1352">
        <f t="shared" si="215"/>
        <v>0</v>
      </c>
      <c r="O502" s="1352">
        <f t="shared" ref="O502:O507" si="216">IF(L502&gt;0,N502*100/L502,0)</f>
        <v>0</v>
      </c>
      <c r="P502" s="1352">
        <f t="shared" ref="P502:P507" si="217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8">L506+L513</f>
        <v>0</v>
      </c>
      <c r="M503" s="887">
        <f t="shared" si="218"/>
        <v>0</v>
      </c>
      <c r="N503" s="887">
        <f t="shared" si="218"/>
        <v>0</v>
      </c>
      <c r="O503" s="887">
        <f t="shared" si="216"/>
        <v>0</v>
      </c>
      <c r="P503" s="887">
        <f t="shared" si="217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8"/>
        <v>0</v>
      </c>
      <c r="M504" s="887">
        <f t="shared" si="218"/>
        <v>0</v>
      </c>
      <c r="N504" s="887">
        <f t="shared" si="218"/>
        <v>0</v>
      </c>
      <c r="O504" s="887">
        <f t="shared" si="216"/>
        <v>0</v>
      </c>
      <c r="P504" s="887">
        <f t="shared" si="217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19">L506+L507</f>
        <v>0</v>
      </c>
      <c r="M505" s="887">
        <f t="shared" si="219"/>
        <v>0</v>
      </c>
      <c r="N505" s="887">
        <f t="shared" si="219"/>
        <v>0</v>
      </c>
      <c r="O505" s="887">
        <f t="shared" si="216"/>
        <v>0</v>
      </c>
      <c r="P505" s="887">
        <f t="shared" si="217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6"/>
        <v>0</v>
      </c>
      <c r="P506" s="887">
        <f t="shared" si="217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6"/>
        <v>0</v>
      </c>
      <c r="P507" s="887">
        <f t="shared" si="217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0">L513+L514</f>
        <v>0</v>
      </c>
      <c r="M512" s="887">
        <f t="shared" si="220"/>
        <v>0</v>
      </c>
      <c r="N512" s="887">
        <f t="shared" si="220"/>
        <v>0</v>
      </c>
      <c r="O512" s="887">
        <f t="shared" ref="O512:O514" si="221">IF(L512&gt;0,N512*100/L512,0)</f>
        <v>0</v>
      </c>
      <c r="P512" s="887">
        <f t="shared" ref="P512:P514" si="222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1"/>
        <v>0</v>
      </c>
      <c r="P513" s="887">
        <f t="shared" si="222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1"/>
        <v>0</v>
      </c>
      <c r="P514" s="887">
        <f t="shared" si="222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3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3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4">I537</f>
        <v>0</v>
      </c>
      <c r="J522" s="1377">
        <f t="shared" ca="1" si="224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5">L524+L525</f>
        <v>0</v>
      </c>
      <c r="M523" s="1020">
        <f t="shared" si="225"/>
        <v>0</v>
      </c>
      <c r="N523" s="1020">
        <f t="shared" si="225"/>
        <v>0</v>
      </c>
      <c r="O523" s="1020">
        <f t="shared" ref="O523:O528" ca="1" si="226">IF(L523&gt;0,N523*100/L523,0)</f>
        <v>0</v>
      </c>
      <c r="P523" s="1020">
        <f t="shared" ref="P523:P528" si="227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8">L527+L534</f>
        <v>0</v>
      </c>
      <c r="M524" s="887">
        <f t="shared" si="228"/>
        <v>0</v>
      </c>
      <c r="N524" s="887">
        <f t="shared" si="228"/>
        <v>0</v>
      </c>
      <c r="O524" s="887">
        <f t="shared" si="226"/>
        <v>0</v>
      </c>
      <c r="P524" s="887">
        <f t="shared" si="227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8"/>
        <v>0</v>
      </c>
      <c r="M525" s="887">
        <f t="shared" si="228"/>
        <v>0</v>
      </c>
      <c r="N525" s="887">
        <f t="shared" si="228"/>
        <v>0</v>
      </c>
      <c r="O525" s="887">
        <f t="shared" ca="1" si="226"/>
        <v>0</v>
      </c>
      <c r="P525" s="887">
        <f t="shared" si="227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29">L527+L528</f>
        <v>0</v>
      </c>
      <c r="M526" s="881">
        <f t="shared" si="229"/>
        <v>0</v>
      </c>
      <c r="N526" s="881">
        <f t="shared" si="229"/>
        <v>0</v>
      </c>
      <c r="O526" s="881">
        <f t="shared" ca="1" si="226"/>
        <v>0</v>
      </c>
      <c r="P526" s="881">
        <f t="shared" si="227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6"/>
        <v>0</v>
      </c>
      <c r="P527" s="887">
        <f t="shared" si="227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IFERROR(__xludf.DUMMYFUNCTION("IMPORTRANGE(""https://docs.google.com/spreadsheets/d/1QqKyyYR6Q21VydFLVH3TRQUabQu_ym0Zz7PgGX0-kHA/edit?usp=sharing"",""แผน!GQ83"")"),0)</f>
        <v>0</v>
      </c>
      <c r="M528" s="887">
        <v>0</v>
      </c>
      <c r="N528" s="887">
        <f>N529+N530+N531+N532</f>
        <v>0</v>
      </c>
      <c r="O528" s="887">
        <f t="shared" ca="1" si="226"/>
        <v>0</v>
      </c>
      <c r="P528" s="887">
        <f t="shared" si="227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0">L534+L535</f>
        <v>0</v>
      </c>
      <c r="M533" s="881">
        <f t="shared" si="230"/>
        <v>0</v>
      </c>
      <c r="N533" s="881">
        <f t="shared" si="230"/>
        <v>0</v>
      </c>
      <c r="O533" s="881">
        <f t="shared" ref="O533:O535" ca="1" si="231">IF(L533&gt;0,N533*100/L533,0)</f>
        <v>0</v>
      </c>
      <c r="P533" s="881">
        <f t="shared" ref="P533:P535" si="232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1"/>
        <v>0</v>
      </c>
      <c r="P534" s="887">
        <f t="shared" si="232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IFERROR(__xludf.DUMMYFUNCTION("IMPORTRANGE(""https://docs.google.com/spreadsheets/d/1QqKyyYR6Q21VydFLVH3TRQUabQu_ym0Zz7PgGX0-kHA/edit?usp=sharing"",""แผน!GT83"")"),0)</f>
        <v>0</v>
      </c>
      <c r="M535" s="887">
        <v>0</v>
      </c>
      <c r="N535" s="887">
        <v>0</v>
      </c>
      <c r="O535" s="887">
        <f t="shared" ca="1" si="231"/>
        <v>0</v>
      </c>
      <c r="P535" s="887">
        <f t="shared" si="232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IFERROR(__xludf.DUMMYFUNCTION("IMPORTRANGE(""https://docs.google.com/spreadsheets/d/1QqKyyYR6Q21VydFLVH3TRQUabQu_ym0Zz7PgGX0-kHA/edit?usp=sharing"",""แผน!GU83"")"),0)</f>
        <v>0</v>
      </c>
      <c r="J537" s="1019">
        <f ca="1">IF(AND(J538=I538,J539=I539,J540=I540,J541=I541),I537,0)</f>
        <v>0</v>
      </c>
      <c r="K537" s="881">
        <f t="shared" ref="K537:K543" ca="1" si="233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IFERROR(__xludf.DUMMYFUNCTION("IMPORTRANGE(""https://docs.google.com/spreadsheets/d/1QqKyyYR6Q21VydFLVH3TRQUabQu_ym0Zz7PgGX0-kHA/edit?usp=sharing"",""แผน!GV83"")"),0)</f>
        <v>0</v>
      </c>
      <c r="J538" s="1012">
        <v>0</v>
      </c>
      <c r="K538" s="881">
        <f t="shared" ca="1" si="233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IFERROR(__xludf.DUMMYFUNCTION("IMPORTRANGE(""https://docs.google.com/spreadsheets/d/1QqKyyYR6Q21VydFLVH3TRQUabQu_ym0Zz7PgGX0-kHA/edit?usp=sharing"",""แผน!GW83"")"),0)</f>
        <v>0</v>
      </c>
      <c r="J539" s="1012">
        <v>0</v>
      </c>
      <c r="K539" s="881">
        <f t="shared" ca="1" si="233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IFERROR(__xludf.DUMMYFUNCTION("IMPORTRANGE(""https://docs.google.com/spreadsheets/d/1QqKyyYR6Q21VydFLVH3TRQUabQu_ym0Zz7PgGX0-kHA/edit?usp=sharing"",""แผน!GX83"")"),0)</f>
        <v>0</v>
      </c>
      <c r="J540" s="1012">
        <v>0</v>
      </c>
      <c r="K540" s="881">
        <f t="shared" ca="1" si="233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IFERROR(__xludf.DUMMYFUNCTION("IMPORTRANGE(""https://docs.google.com/spreadsheets/d/1QqKyyYR6Q21VydFLVH3TRQUabQu_ym0Zz7PgGX0-kHA/edit?usp=sharing"",""แผน!GY83"")"),0)</f>
        <v>0</v>
      </c>
      <c r="J541" s="1012">
        <v>0</v>
      </c>
      <c r="K541" s="881">
        <f t="shared" ca="1" si="233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IFERROR(__xludf.DUMMYFUNCTION("IMPORTRANGE(""https://docs.google.com/spreadsheets/d/1QqKyyYR6Q21VydFLVH3TRQUabQu_ym0Zz7PgGX0-kHA/edit?usp=sharing"",""แผน!GZ83"")"),0)</f>
        <v>0</v>
      </c>
      <c r="J542" s="1012">
        <v>0</v>
      </c>
      <c r="K542" s="881">
        <f t="shared" ca="1" si="233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4">I559</f>
        <v>0</v>
      </c>
      <c r="J543" s="1384">
        <f t="shared" si="234"/>
        <v>0</v>
      </c>
      <c r="K543" s="1385">
        <f t="shared" ca="1" si="233"/>
        <v>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5">L545+L546</f>
        <v>75300</v>
      </c>
      <c r="M544" s="992">
        <f t="shared" ca="1" si="235"/>
        <v>75300</v>
      </c>
      <c r="N544" s="992">
        <f t="shared" si="235"/>
        <v>7856.5</v>
      </c>
      <c r="O544" s="992">
        <f t="shared" ref="O544:O549" ca="1" si="236">IF(L544&gt;0,N544*100/L544,0)</f>
        <v>10.433598937583001</v>
      </c>
      <c r="P544" s="992">
        <f t="shared" ref="P544:P549" ca="1" si="237">IF(M544&gt;0,N544*100/M544,0)</f>
        <v>10.433598937583001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8">L548+L556</f>
        <v>0</v>
      </c>
      <c r="M545" s="887">
        <f t="shared" ref="M545:N546" si="239">M548+M555</f>
        <v>0</v>
      </c>
      <c r="N545" s="887">
        <f t="shared" si="239"/>
        <v>0</v>
      </c>
      <c r="O545" s="887">
        <f t="shared" si="236"/>
        <v>0</v>
      </c>
      <c r="P545" s="887">
        <f t="shared" si="237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8"/>
        <v>75300</v>
      </c>
      <c r="M546" s="887">
        <f t="shared" ca="1" si="239"/>
        <v>75300</v>
      </c>
      <c r="N546" s="887">
        <f t="shared" si="239"/>
        <v>7856.5</v>
      </c>
      <c r="O546" s="887">
        <f t="shared" ca="1" si="236"/>
        <v>10.433598937583001</v>
      </c>
      <c r="P546" s="887">
        <f t="shared" ca="1" si="237"/>
        <v>10.433598937583001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0">L548+L549</f>
        <v>75300</v>
      </c>
      <c r="M547" s="881">
        <f t="shared" ca="1" si="240"/>
        <v>75300</v>
      </c>
      <c r="N547" s="881">
        <f t="shared" si="240"/>
        <v>7856.5</v>
      </c>
      <c r="O547" s="881">
        <f t="shared" ca="1" si="236"/>
        <v>10.433598937583001</v>
      </c>
      <c r="P547" s="881">
        <f t="shared" ca="1" si="237"/>
        <v>10.433598937583001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6"/>
        <v>0</v>
      </c>
      <c r="P548" s="887">
        <f t="shared" si="237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IFERROR(__xludf.DUMMYFUNCTION("IMPORTRANGE(""https://docs.google.com/spreadsheets/d/1QqKyyYR6Q21VydFLVH3TRQUabQu_ym0Zz7PgGX0-kHA/edit?usp=sharing"",""แผน!HB83"")"),75300)</f>
        <v>75300</v>
      </c>
      <c r="M549" s="887">
        <f ca="1">L549</f>
        <v>75300</v>
      </c>
      <c r="N549" s="887">
        <f>N550+N551+N552+N553+N554</f>
        <v>7856.5</v>
      </c>
      <c r="O549" s="887">
        <f t="shared" ca="1" si="236"/>
        <v>10.433598937583001</v>
      </c>
      <c r="P549" s="887">
        <f t="shared" ca="1" si="237"/>
        <v>10.433598937583001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0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v>7856.5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1">L556+L557</f>
        <v>0</v>
      </c>
      <c r="M555" s="881">
        <f t="shared" si="241"/>
        <v>0</v>
      </c>
      <c r="N555" s="881">
        <f t="shared" si="241"/>
        <v>0</v>
      </c>
      <c r="O555" s="881">
        <f t="shared" ref="O555:O557" ca="1" si="242">IF(L555&gt;0,N555*100/L555,0)</f>
        <v>0</v>
      </c>
      <c r="P555" s="881">
        <f t="shared" ref="P555:P557" si="243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2"/>
        <v>0</v>
      </c>
      <c r="P556" s="887">
        <f t="shared" si="243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IFERROR(__xludf.DUMMYFUNCTION("IMPORTRANGE(""https://docs.google.com/spreadsheets/d/1QqKyyYR6Q21VydFLVH3TRQUabQu_ym0Zz7PgGX0-kHA/edit?usp=sharing"",""แผน!HF83"")"),0)</f>
        <v>0</v>
      </c>
      <c r="M557" s="887">
        <v>0</v>
      </c>
      <c r="N557" s="887">
        <v>0</v>
      </c>
      <c r="O557" s="887">
        <f t="shared" ca="1" si="242"/>
        <v>0</v>
      </c>
      <c r="P557" s="887">
        <f t="shared" si="243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 hidden="1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 hidden="1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4">I576</f>
        <v>0</v>
      </c>
      <c r="J559" s="1377">
        <f t="shared" si="244"/>
        <v>0</v>
      </c>
      <c r="K559" s="1378">
        <f t="shared" ref="K559:K561" ca="1" si="245">IF(I559&gt;0,J559*100/I559,0)</f>
        <v>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 hidden="1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IFERROR(__xludf.DUMMYFUNCTION("IMPORTRANGE(""https://docs.google.com/spreadsheets/d/1QqKyyYR6Q21VydFLVH3TRQUabQu_ym0Zz7PgGX0-kHA/edit?usp=sharing"",""แผน!HH83"")"),0)</f>
        <v>0</v>
      </c>
      <c r="J560" s="1018">
        <f t="shared" ref="J560:J561" si="246">J562+J564+J566</f>
        <v>0</v>
      </c>
      <c r="K560" s="1162">
        <f t="shared" ca="1" si="245"/>
        <v>0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 hidden="1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IFERROR(__xludf.DUMMYFUNCTION("IMPORTRANGE(""https://docs.google.com/spreadsheets/d/1QqKyyYR6Q21VydFLVH3TRQUabQu_ym0Zz7PgGX0-kHA/edit?usp=sharing"",""แผน!HG83"")"),0)</f>
        <v>0</v>
      </c>
      <c r="J561" s="1018">
        <f t="shared" si="246"/>
        <v>0</v>
      </c>
      <c r="K561" s="1162">
        <f t="shared" ca="1" si="245"/>
        <v>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 hidden="1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0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 hidden="1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0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 hidden="1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0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 hidden="1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0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 hidden="1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0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 hidden="1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0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 hidden="1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IFERROR(__xludf.DUMMYFUNCTION("IMPORTRANGE(""https://docs.google.com/spreadsheets/d/1QqKyyYR6Q21VydFLVH3TRQUabQu_ym0Zz7PgGX0-kHA/edit?usp=sharing"",""แผน!HH83"")"),0)</f>
        <v>0</v>
      </c>
      <c r="J568" s="1019">
        <f t="shared" ref="J568:J569" si="247">J570+J572+J574</f>
        <v>0</v>
      </c>
      <c r="K568" s="1162">
        <f t="shared" ref="K568:K569" ca="1" si="248">IF(I568&gt;0,J568*100/I568,0)</f>
        <v>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 hidden="1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IFERROR(__xludf.DUMMYFUNCTION("IMPORTRANGE(""https://docs.google.com/spreadsheets/d/1QqKyyYR6Q21VydFLVH3TRQUabQu_ym0Zz7PgGX0-kHA/edit?usp=sharing"",""แผน!HG83"")"),0)</f>
        <v>0</v>
      </c>
      <c r="J569" s="1019">
        <f t="shared" si="247"/>
        <v>0</v>
      </c>
      <c r="K569" s="1162">
        <f t="shared" ca="1" si="248"/>
        <v>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 hidden="1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0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 hidden="1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0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 hidden="1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0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 hidden="1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0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 hidden="1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0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 hidden="1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0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 hidden="1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IFERROR(__xludf.DUMMYFUNCTION("IMPORTRANGE(""https://docs.google.com/spreadsheets/d/1QqKyyYR6Q21VydFLVH3TRQUabQu_ym0Zz7PgGX0-kHA/edit?usp=sharing"",""แผน!HH83"")"),0)</f>
        <v>0</v>
      </c>
      <c r="J576" s="1019">
        <f t="shared" ref="J576:J577" si="249">J578+J580+J582+J588+J590</f>
        <v>0</v>
      </c>
      <c r="K576" s="1162">
        <f t="shared" ref="K576:K577" ca="1" si="250">IF(I576&gt;0,J576*100/I576,0)</f>
        <v>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 hidden="1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IFERROR(__xludf.DUMMYFUNCTION("IMPORTRANGE(""https://docs.google.com/spreadsheets/d/1QqKyyYR6Q21VydFLVH3TRQUabQu_ym0Zz7PgGX0-kHA/edit?usp=sharing"",""แผน!HG83"")"),0)</f>
        <v>0</v>
      </c>
      <c r="J577" s="1019">
        <f t="shared" si="249"/>
        <v>0</v>
      </c>
      <c r="K577" s="1162">
        <f t="shared" ca="1" si="250"/>
        <v>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 hidden="1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0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 hidden="1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0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 hidden="1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0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 hidden="1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 hidden="1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1">J584+J586</f>
        <v>0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 hidden="1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1"/>
        <v>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 hidden="1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0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 hidden="1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0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 hidden="1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 hidden="1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 hidden="1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 hidden="1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 hidden="1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 hidden="1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2">I593</f>
        <v>428.41</v>
      </c>
      <c r="J592" s="1377">
        <f t="shared" si="252"/>
        <v>0</v>
      </c>
      <c r="K592" s="1378">
        <f t="shared" ref="K592:K594" ca="1" si="253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IFERROR(__xludf.DUMMYFUNCTION("IMPORTRANGE(""https://docs.google.com/spreadsheets/d/1QqKyyYR6Q21VydFLVH3TRQUabQu_ym0Zz7PgGX0-kHA/edit?usp=sharing"",""แผน!HJ83"")"),428.41)</f>
        <v>428.41</v>
      </c>
      <c r="J593" s="1018">
        <f t="shared" ref="J593:J594" si="254">J595+J603+J609</f>
        <v>0</v>
      </c>
      <c r="K593" s="1162">
        <f t="shared" ca="1" si="253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IFERROR(__xludf.DUMMYFUNCTION("IMPORTRANGE(""https://docs.google.com/spreadsheets/d/1QqKyyYR6Q21VydFLVH3TRQUabQu_ym0Zz7PgGX0-kHA/edit?usp=sharing"",""แผน!HI83"")"),31)</f>
        <v>31</v>
      </c>
      <c r="J594" s="1018">
        <f t="shared" si="254"/>
        <v>0</v>
      </c>
      <c r="K594" s="1162">
        <f t="shared" ca="1" si="253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5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5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6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6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7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8">J614+J616</f>
        <v>0</v>
      </c>
      <c r="K612" s="1409">
        <f t="shared" si="257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8"/>
        <v>0</v>
      </c>
      <c r="K613" s="1409">
        <f t="shared" si="257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IFERROR(__xludf.DUMMYFUNCTION("IMPORTRANGE(""https://docs.google.com/spreadsheets/d/1QqKyyYR6Q21VydFLVH3TRQUabQu_ym0Zz7PgGX0-kHA/edit?usp=sharing"",""แผน!HL83"")"),0)</f>
        <v>0</v>
      </c>
      <c r="J620" s="1417">
        <f t="shared" ref="J620:J621" si="259">J622+J624+J626</f>
        <v>0</v>
      </c>
      <c r="K620" s="1418">
        <f t="shared" ref="K620:K621" ca="1" si="260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IFERROR(__xludf.DUMMYFUNCTION("IMPORTRANGE(""https://docs.google.com/spreadsheets/d/1QqKyyYR6Q21VydFLVH3TRQUabQu_ym0Zz7PgGX0-kHA/edit?usp=sharing"",""แผน!HK83"")"),0)</f>
        <v>0</v>
      </c>
      <c r="J621" s="1417">
        <f t="shared" si="259"/>
        <v>0</v>
      </c>
      <c r="K621" s="1418">
        <f t="shared" ca="1" si="260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 hidden="1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1">I651</f>
        <v>0</v>
      </c>
      <c r="J628" s="1426">
        <f t="shared" ca="1" si="261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 hidden="1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2">L630+L631</f>
        <v>0</v>
      </c>
      <c r="M629" s="1020">
        <f t="shared" si="262"/>
        <v>0</v>
      </c>
      <c r="N629" s="1020">
        <f t="shared" si="262"/>
        <v>0</v>
      </c>
      <c r="O629" s="1020">
        <f t="shared" ref="O629:O634" ca="1" si="263">IF(L629&gt;0,N629*100/L629,0)</f>
        <v>0</v>
      </c>
      <c r="P629" s="1020">
        <f t="shared" ref="P629:P634" si="264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5">L633+L640</f>
        <v>0</v>
      </c>
      <c r="M630" s="887">
        <f t="shared" si="265"/>
        <v>0</v>
      </c>
      <c r="N630" s="887">
        <f t="shared" si="265"/>
        <v>0</v>
      </c>
      <c r="O630" s="887">
        <f t="shared" si="263"/>
        <v>0</v>
      </c>
      <c r="P630" s="887">
        <f t="shared" si="264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5"/>
        <v>0</v>
      </c>
      <c r="M631" s="887">
        <f t="shared" si="265"/>
        <v>0</v>
      </c>
      <c r="N631" s="887">
        <f t="shared" si="265"/>
        <v>0</v>
      </c>
      <c r="O631" s="887">
        <f t="shared" ca="1" si="263"/>
        <v>0</v>
      </c>
      <c r="P631" s="887">
        <f t="shared" si="264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 hidden="1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6">L633+L634</f>
        <v>0</v>
      </c>
      <c r="M632" s="881">
        <f t="shared" si="266"/>
        <v>0</v>
      </c>
      <c r="N632" s="881">
        <f t="shared" si="266"/>
        <v>0</v>
      </c>
      <c r="O632" s="881">
        <f t="shared" ca="1" si="263"/>
        <v>0</v>
      </c>
      <c r="P632" s="881">
        <f t="shared" si="264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3"/>
        <v>0</v>
      </c>
      <c r="P633" s="887">
        <f t="shared" si="264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IFERROR(__xludf.DUMMYFUNCTION("IMPORTRANGE(""https://docs.google.com/spreadsheets/d/1QqKyyYR6Q21VydFLVH3TRQUabQu_ym0Zz7PgGX0-kHA/edit?usp=sharing"",""แผน!HN83"")"),0)</f>
        <v>0</v>
      </c>
      <c r="M634" s="887">
        <v>0</v>
      </c>
      <c r="N634" s="887">
        <f>N635+N636+N637+N638</f>
        <v>0</v>
      </c>
      <c r="O634" s="887">
        <f t="shared" ca="1" si="263"/>
        <v>0</v>
      </c>
      <c r="P634" s="887">
        <f t="shared" si="264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 hidden="1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 hidden="1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 hidden="1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 hidden="1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 hidden="1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7">L640+L641</f>
        <v>0</v>
      </c>
      <c r="M639" s="881">
        <f t="shared" si="267"/>
        <v>0</v>
      </c>
      <c r="N639" s="881">
        <f t="shared" si="267"/>
        <v>0</v>
      </c>
      <c r="O639" s="881">
        <f t="shared" ref="O639:O641" ca="1" si="268">IF(L639&gt;0,N639*100/L639,0)</f>
        <v>0</v>
      </c>
      <c r="P639" s="881">
        <f t="shared" ref="P639:P641" si="269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8"/>
        <v>0</v>
      </c>
      <c r="P640" s="887">
        <f t="shared" si="269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IFERROR(__xludf.DUMMYFUNCTION("IMPORTRANGE(""https://docs.google.com/spreadsheets/d/1QqKyyYR6Q21VydFLVH3TRQUabQu_ym0Zz7PgGX0-kHA/edit?usp=sharing"",""แผน!HQ83"")"),0)</f>
        <v>0</v>
      </c>
      <c r="M641" s="887">
        <v>0</v>
      </c>
      <c r="N641" s="887">
        <v>0</v>
      </c>
      <c r="O641" s="887">
        <f t="shared" ca="1" si="268"/>
        <v>0</v>
      </c>
      <c r="P641" s="887">
        <f t="shared" si="269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 hidden="1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 hidden="1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IFERROR(__xludf.DUMMYFUNCTION("IMPORTRANGE(""https://docs.google.com/spreadsheets/d/1QqKyyYR6Q21VydFLVH3TRQUabQu_ym0Zz7PgGX0-kHA/edit?usp=sharing"",""แผน!HR83"")"),0)</f>
        <v>0</v>
      </c>
      <c r="J643" s="1012">
        <v>0</v>
      </c>
      <c r="K643" s="998">
        <f t="shared" ref="K643:K652" ca="1" si="270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 hidden="1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IFERROR(__xludf.DUMMYFUNCTION("IMPORTRANGE(""https://docs.google.com/spreadsheets/d/1QqKyyYR6Q21VydFLVH3TRQUabQu_ym0Zz7PgGX0-kHA/edit?usp=sharing"",""แผน!HR83"")"),0)</f>
        <v>0</v>
      </c>
      <c r="J644" s="1012">
        <v>0</v>
      </c>
      <c r="K644" s="998">
        <f t="shared" ca="1" si="270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 hidden="1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IFERROR(__xludf.DUMMYFUNCTION("IMPORTRANGE(""https://docs.google.com/spreadsheets/d/1XWAQStnk-4SwqDmLtmXYiTMKHgktTP8We1SCoS47DrQ/edit?usp=sharing"",""จัดที่ดิน!AS83"")"),0)</f>
        <v>0</v>
      </c>
      <c r="K645" s="998">
        <f t="shared" si="270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 hidden="1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IFERROR(__xludf.DUMMYFUNCTION("IMPORTRANGE(""https://docs.google.com/spreadsheets/d/1XWAQStnk-4SwqDmLtmXYiTMKHgktTP8We1SCoS47DrQ/edit?usp=sharing"",""จัดที่ดิน!AT83"")"),0)</f>
        <v>0</v>
      </c>
      <c r="K646" s="881">
        <f t="shared" si="270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 hidden="1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IFERROR(__xludf.DUMMYFUNCTION("IMPORTRANGE(""https://docs.google.com/spreadsheets/d/1QqKyyYR6Q21VydFLVH3TRQUabQu_ym0Zz7PgGX0-kHA/edit?usp=sharing"",""แผน!HS83"")"),0)</f>
        <v>0</v>
      </c>
      <c r="J647" s="880">
        <f ca="1">IFERROR(__xludf.DUMMYFUNCTION("IMPORTRANGE(""https://docs.google.com/spreadsheets/d/1XWAQStnk-4SwqDmLtmXYiTMKHgktTP8We1SCoS47DrQ/edit?usp=sharing"",""จัดที่ดิน!AU83"")"),0)</f>
        <v>0</v>
      </c>
      <c r="K647" s="998">
        <f t="shared" ca="1" si="270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 hidden="1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IFERROR(__xludf.DUMMYFUNCTION("IMPORTRANGE(""https://docs.google.com/spreadsheets/d/1XWAQStnk-4SwqDmLtmXYiTMKHgktTP8We1SCoS47DrQ/edit?usp=sharing"",""จัดที่ดิน!AV83"")"),0)</f>
        <v>0</v>
      </c>
      <c r="K648" s="881">
        <f t="shared" si="270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 hidden="1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IFERROR(__xludf.DUMMYFUNCTION("IMPORTRANGE(""https://docs.google.com/spreadsheets/d/1QqKyyYR6Q21VydFLVH3TRQUabQu_ym0Zz7PgGX0-kHA/edit?usp=sharing"",""แผน!HS83"")"),0)</f>
        <v>0</v>
      </c>
      <c r="J649" s="880">
        <f ca="1">IFERROR(__xludf.DUMMYFUNCTION("IMPORTRANGE(""https://docs.google.com/spreadsheets/d/1XWAQStnk-4SwqDmLtmXYiTMKHgktTP8We1SCoS47DrQ/edit?usp=sharing"",""จัดที่ดิน!AW83"")"),0)</f>
        <v>0</v>
      </c>
      <c r="K649" s="998">
        <f t="shared" ca="1" si="270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 hidden="1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IFERROR(__xludf.DUMMYFUNCTION("IMPORTRANGE(""https://docs.google.com/spreadsheets/d/1XWAQStnk-4SwqDmLtmXYiTMKHgktTP8We1SCoS47DrQ/edit?usp=sharing"",""จัดที่ดิน!AX83"")"),0)</f>
        <v>0</v>
      </c>
      <c r="K650" s="881">
        <f t="shared" si="270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 hidden="1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IFERROR(__xludf.DUMMYFUNCTION("IMPORTRANGE(""https://docs.google.com/spreadsheets/d/1QqKyyYR6Q21VydFLVH3TRQUabQu_ym0Zz7PgGX0-kHA/edit?usp=sharing"",""แผน!HS83"")"),0)</f>
        <v>0</v>
      </c>
      <c r="J651" s="880">
        <f ca="1">IFERROR(__xludf.DUMMYFUNCTION("IMPORTRANGE(""https://docs.google.com/spreadsheets/d/1XWAQStnk-4SwqDmLtmXYiTMKHgktTP8We1SCoS47DrQ/edit?usp=sharing"",""จัดที่ดิน!AY83"")"),0)</f>
        <v>0</v>
      </c>
      <c r="K651" s="998">
        <f t="shared" ca="1" si="270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 hidden="1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IFERROR(__xludf.DUMMYFUNCTION("IMPORTRANGE(""https://docs.google.com/spreadsheets/d/1XWAQStnk-4SwqDmLtmXYiTMKHgktTP8We1SCoS47DrQ/edit?usp=sharing"",""จัดที่ดิน!AZ83"")"),0)</f>
        <v>0</v>
      </c>
      <c r="K652" s="1239">
        <f t="shared" si="270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 hidden="1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1">I669</f>
        <v>0</v>
      </c>
      <c r="J654" s="1377">
        <f t="shared" si="271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2">L656+L657</f>
        <v>0</v>
      </c>
      <c r="M655" s="1020">
        <f t="shared" si="272"/>
        <v>0</v>
      </c>
      <c r="N655" s="1020">
        <f t="shared" si="272"/>
        <v>0</v>
      </c>
      <c r="O655" s="1020">
        <f t="shared" ref="O655:O660" ca="1" si="273">IF(L655&gt;0,N655*100/L655,0)</f>
        <v>0</v>
      </c>
      <c r="P655" s="1020">
        <f t="shared" ref="P655:P660" si="274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5">L659+L666</f>
        <v>0</v>
      </c>
      <c r="M656" s="887">
        <f t="shared" si="275"/>
        <v>0</v>
      </c>
      <c r="N656" s="887">
        <f t="shared" si="275"/>
        <v>0</v>
      </c>
      <c r="O656" s="887">
        <f t="shared" si="273"/>
        <v>0</v>
      </c>
      <c r="P656" s="887">
        <f t="shared" si="274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5"/>
        <v>0</v>
      </c>
      <c r="M657" s="887">
        <f t="shared" si="275"/>
        <v>0</v>
      </c>
      <c r="N657" s="887">
        <f t="shared" si="275"/>
        <v>0</v>
      </c>
      <c r="O657" s="887">
        <f t="shared" ca="1" si="273"/>
        <v>0</v>
      </c>
      <c r="P657" s="887">
        <f t="shared" si="274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6">L659+L660</f>
        <v>0</v>
      </c>
      <c r="M658" s="881">
        <f t="shared" si="276"/>
        <v>0</v>
      </c>
      <c r="N658" s="881">
        <f t="shared" si="276"/>
        <v>0</v>
      </c>
      <c r="O658" s="881">
        <f t="shared" ca="1" si="273"/>
        <v>0</v>
      </c>
      <c r="P658" s="881">
        <f t="shared" si="274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3"/>
        <v>0</v>
      </c>
      <c r="P659" s="887">
        <f t="shared" si="274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IFERROR(__xludf.DUMMYFUNCTION("IMPORTRANGE(""https://docs.google.com/spreadsheets/d/1QqKyyYR6Q21VydFLVH3TRQUabQu_ym0Zz7PgGX0-kHA/edit?usp=sharing"",""แผน!HV83"")"),0)</f>
        <v>0</v>
      </c>
      <c r="M660" s="887">
        <v>0</v>
      </c>
      <c r="N660" s="887">
        <f>N661+N662+N663+N664</f>
        <v>0</v>
      </c>
      <c r="O660" s="887">
        <f t="shared" ca="1" si="273"/>
        <v>0</v>
      </c>
      <c r="P660" s="887">
        <f t="shared" si="274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7">L666+L667</f>
        <v>0</v>
      </c>
      <c r="M665" s="881">
        <f t="shared" si="277"/>
        <v>0</v>
      </c>
      <c r="N665" s="881">
        <f t="shared" si="277"/>
        <v>0</v>
      </c>
      <c r="O665" s="881">
        <f t="shared" ref="O665:O667" si="278">IF(L665&gt;0,N665*100/L665,0)</f>
        <v>0</v>
      </c>
      <c r="P665" s="881">
        <f t="shared" ref="P665:P667" si="279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8"/>
        <v>0</v>
      </c>
      <c r="P666" s="887">
        <f t="shared" si="279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8"/>
        <v>0</v>
      </c>
      <c r="P667" s="887">
        <f t="shared" si="279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IFERROR(__xludf.DUMMYFUNCTION("IMPORTRANGE(""https://docs.google.com/spreadsheets/d/1QqKyyYR6Q21VydFLVH3TRQUabQu_ym0Zz7PgGX0-kHA/edit?usp=sharing"",""แผน!IA83"")"),0)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IFERROR(__xludf.DUMMYFUNCTION("IMPORTRANGE(""https://docs.google.com/spreadsheets/d/1QqKyyYR6Q21VydFLVH3TRQUabQu_ym0Zz7PgGX0-kHA/edit?usp=sharing"",""แผน!HZ83"")"),0)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IFERROR(__xludf.DUMMYFUNCTION("IMPORTRANGE(""https://docs.google.com/spreadsheets/d/1QqKyyYR6Q21VydFLVH3TRQUabQu_ym0Zz7PgGX0-kHA/edit?usp=sharing"",""แผน!HZ83"")"),0)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0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0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0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0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IFERROR(__xludf.DUMMYFUNCTION("IMPORTRANGE(""https://docs.google.com/spreadsheets/d/1QqKyyYR6Q21VydFLVH3TRQUabQu_ym0Zz7PgGX0-kHA/edit?usp=sharing"",""แผน!IB83"")"),0)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1">L686+L687</f>
        <v>0</v>
      </c>
      <c r="M685" s="1020">
        <f t="shared" si="281"/>
        <v>0</v>
      </c>
      <c r="N685" s="1020">
        <f t="shared" si="281"/>
        <v>0</v>
      </c>
      <c r="O685" s="1020">
        <f t="shared" ref="O685:O688" ca="1" si="282">IF(L685&gt;0,N685*100/L685,0)</f>
        <v>0</v>
      </c>
      <c r="P685" s="1020">
        <f t="shared" ref="P685:P688" si="283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4">L689+L696</f>
        <v>0</v>
      </c>
      <c r="M686" s="887">
        <f t="shared" si="284"/>
        <v>0</v>
      </c>
      <c r="N686" s="887">
        <f t="shared" si="284"/>
        <v>0</v>
      </c>
      <c r="O686" s="887">
        <f t="shared" si="282"/>
        <v>0</v>
      </c>
      <c r="P686" s="887">
        <f t="shared" si="283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4"/>
        <v>0</v>
      </c>
      <c r="M687" s="887">
        <f t="shared" si="284"/>
        <v>0</v>
      </c>
      <c r="N687" s="887">
        <f t="shared" si="284"/>
        <v>0</v>
      </c>
      <c r="O687" s="887">
        <f t="shared" ca="1" si="282"/>
        <v>0</v>
      </c>
      <c r="P687" s="887">
        <f t="shared" si="283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5">L689+L690</f>
        <v>0</v>
      </c>
      <c r="M688" s="881">
        <f t="shared" si="285"/>
        <v>0</v>
      </c>
      <c r="N688" s="881">
        <f t="shared" si="285"/>
        <v>0</v>
      </c>
      <c r="O688" s="881">
        <f t="shared" ca="1" si="282"/>
        <v>0</v>
      </c>
      <c r="P688" s="881">
        <f t="shared" si="283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IFERROR(__xludf.DUMMYFUNCTION("IMPORTRANGE(""https://docs.google.com/spreadsheets/d/1QqKyyYR6Q21VydFLVH3TRQUabQu_ym0Zz7PgGX0-kHA/edit?usp=sharing"",""แผน!HW83"")"),0)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6">L696+L697</f>
        <v>0</v>
      </c>
      <c r="M695" s="881">
        <f t="shared" si="286"/>
        <v>0</v>
      </c>
      <c r="N695" s="881">
        <f t="shared" si="286"/>
        <v>0</v>
      </c>
      <c r="O695" s="881">
        <f t="shared" ref="O695:O697" si="287">IF(L695&gt;0,N695*100/L695,0)</f>
        <v>0</v>
      </c>
      <c r="P695" s="881">
        <f t="shared" ref="P695:P697" si="288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7"/>
        <v>0</v>
      </c>
      <c r="P696" s="887">
        <f t="shared" si="288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7"/>
        <v>0</v>
      </c>
      <c r="P697" s="887">
        <f t="shared" si="288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IFERROR(__xludf.DUMMYFUNCTION("IMPORTRANGE(""https://docs.google.com/spreadsheets/d/1QqKyyYR6Q21VydFLVH3TRQUabQu_ym0Zz7PgGX0-kHA/edit?usp=sharing"",""แผน!IC83"")"),0)</f>
        <v>0</v>
      </c>
      <c r="J699" s="880">
        <f ca="1">IFERROR(__xludf.DUMMYFUNCTION("IMPORTRANGE(""https://docs.google.com/spreadsheets/d/1XWAQStnk-4SwqDmLtmXYiTMKHgktTP8We1SCoS47DrQ/edit?usp=sharing"",""จัดที่ดิน!BB83"")"),0)</f>
        <v>0</v>
      </c>
      <c r="K699" s="881">
        <f t="shared" ref="K699:K701" ca="1" si="289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IFERROR(__xludf.DUMMYFUNCTION("IMPORTRANGE(""https://docs.google.com/spreadsheets/d/1QqKyyYR6Q21VydFLVH3TRQUabQu_ym0Zz7PgGX0-kHA/edit?usp=sharing"",""แผน!ID83"")"),0)</f>
        <v>0</v>
      </c>
      <c r="J700" s="880">
        <f ca="1">IFERROR(__xludf.DUMMYFUNCTION("IMPORTRANGE(""https://docs.google.com/spreadsheets/d/1XWAQStnk-4SwqDmLtmXYiTMKHgktTP8We1SCoS47DrQ/edit?usp=sharing"",""จัดที่ดิน!BD83"")"),0)</f>
        <v>0</v>
      </c>
      <c r="K700" s="881">
        <f t="shared" ca="1" si="289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IFERROR(__xludf.DUMMYFUNCTION("IMPORTRANGE(""https://docs.google.com/spreadsheets/d/1QqKyyYR6Q21VydFLVH3TRQUabQu_ym0Zz7PgGX0-kHA/edit?usp=sharing"",""แผน!IE83"")"),0)</f>
        <v>0</v>
      </c>
      <c r="J701" s="1019">
        <f>J704+J707</f>
        <v>0</v>
      </c>
      <c r="K701" s="1020">
        <f t="shared" ca="1" si="289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IFERROR(__xludf.DUMMYFUNCTION("IMPORTRANGE(""https://docs.google.com/spreadsheets/d/1QqKyyYR6Q21VydFLVH3TRQUabQu_ym0Zz7PgGX0-kHA/edit?usp=sharing"",""แผน!IF83"")"),0)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IFERROR(__xludf.DUMMYFUNCTION("IMPORTRANGE(""https://docs.google.com/spreadsheets/d/1QqKyyYR6Q21VydFLVH3TRQUabQu_ym0Zz7PgGX0-kHA/edit?usp=sharing"",""แผน!IG83"")"),0)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IFERROR(__xludf.DUMMYFUNCTION("IMPORTRANGE(""https://docs.google.com/spreadsheets/d/1QqKyyYR6Q21VydFLVH3TRQUabQu_ym0Zz7PgGX0-kHA/edit?usp=sharing"",""แผน!IH83"")"),0)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IFERROR(__xludf.DUMMYFUNCTION("IMPORTRANGE(""https://docs.google.com/spreadsheets/d/1XWAQStnk-4SwqDmLtmXYiTMKHgktTP8We1SCoS47DrQ/edit?usp=sharing"",""จัดที่ดิน!BF83"")"),0)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IFERROR(__xludf.DUMMYFUNCTION("IMPORTRANGE(""https://docs.google.com/spreadsheets/d/1XWAQStnk-4SwqDmLtmXYiTMKHgktTP8We1SCoS47DrQ/edit?usp=sharing"",""จัดที่ดิน!BG83"")"),0)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IFERROR(__xludf.DUMMYFUNCTION("IMPORTRANGE(""https://docs.google.com/spreadsheets/d/1QqKyyYR6Q21VydFLVH3TRQUabQu_ym0Zz7PgGX0-kHA/edit?usp=sharing"",""แผน!II83"")"),0)</f>
        <v>0</v>
      </c>
      <c r="J720" s="880">
        <f ca="1">IFERROR(__xludf.DUMMYFUNCTION("IMPORTRANGE(""https://docs.google.com/spreadsheets/d/1XWAQStnk-4SwqDmLtmXYiTMKHgktTP8We1SCoS47DrQ/edit?usp=sharing"",""จัดที่ดิน!BH83"")"),0)</f>
        <v>0</v>
      </c>
      <c r="K720" s="881">
        <f t="shared" ref="K720:K723" ca="1" si="290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IFERROR(__xludf.DUMMYFUNCTION("IMPORTRANGE(""https://docs.google.com/spreadsheets/d/1QqKyyYR6Q21VydFLVH3TRQUabQu_ym0Zz7PgGX0-kHA/edit?usp=sharing"",""แผน!IJ83"")"),0)</f>
        <v>0</v>
      </c>
      <c r="J721" s="1019">
        <f ca="1">J723+J726</f>
        <v>0</v>
      </c>
      <c r="K721" s="1020">
        <f t="shared" ca="1" si="290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IFERROR(__xludf.DUMMYFUNCTION("IMPORTRANGE(""https://docs.google.com/spreadsheets/d/1QqKyyYR6Q21VydFLVH3TRQUabQu_ym0Zz7PgGX0-kHA/edit?usp=sharing"",""แผน!IK83"")"),0)</f>
        <v>0</v>
      </c>
      <c r="J722" s="1019">
        <f ca="1">J725+J728</f>
        <v>0</v>
      </c>
      <c r="K722" s="1020">
        <f t="shared" ca="1" si="290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IFERROR(__xludf.DUMMYFUNCTION("IMPORTRANGE(""https://docs.google.com/spreadsheets/d/1QqKyyYR6Q21VydFLVH3TRQUabQu_ym0Zz7PgGX0-kHA/edit?usp=sharing"",""แผน!IL83"")"),0)</f>
        <v>0</v>
      </c>
      <c r="J723" s="880">
        <f ca="1">IFERROR(__xludf.DUMMYFUNCTION("IMPORTRANGE(""https://docs.google.com/spreadsheets/d/1XWAQStnk-4SwqDmLtmXYiTMKHgktTP8We1SCoS47DrQ/edit?usp=sharing"",""จัดที่ดิน!BM83"")"),0)</f>
        <v>0</v>
      </c>
      <c r="K723" s="881">
        <f t="shared" ca="1" si="290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IFERROR(__xludf.DUMMYFUNCTION("IMPORTRANGE(""https://docs.google.com/spreadsheets/d/1XWAQStnk-4SwqDmLtmXYiTMKHgktTP8We1SCoS47DrQ/edit?usp=sharing"",""จัดที่ดิน!BN83"")"),0)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IFERROR(__xludf.DUMMYFUNCTION("IMPORTRANGE(""https://docs.google.com/spreadsheets/d/1QqKyyYR6Q21VydFLVH3TRQUabQu_ym0Zz7PgGX0-kHA/edit?usp=sharing"",""แผน!IM83"")"),0)</f>
        <v>0</v>
      </c>
      <c r="J725" s="880">
        <f ca="1">IFERROR(__xludf.DUMMYFUNCTION("IMPORTRANGE(""https://docs.google.com/spreadsheets/d/1XWAQStnk-4SwqDmLtmXYiTMKHgktTP8We1SCoS47DrQ/edit?usp=sharing"",""จัดที่ดิน!BO83"")"),0)</f>
        <v>0</v>
      </c>
      <c r="K725" s="881">
        <f t="shared" ref="K725:K726" ca="1" si="291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IFERROR(__xludf.DUMMYFUNCTION("IMPORTRANGE(""https://docs.google.com/spreadsheets/d/1QqKyyYR6Q21VydFLVH3TRQUabQu_ym0Zz7PgGX0-kHA/edit?usp=sharing"",""แผน!IN83"")"),0)</f>
        <v>0</v>
      </c>
      <c r="J726" s="880">
        <f ca="1">IFERROR(__xludf.DUMMYFUNCTION("IMPORTRANGE(""https://docs.google.com/spreadsheets/d/1XWAQStnk-4SwqDmLtmXYiTMKHgktTP8We1SCoS47DrQ/edit?usp=sharing"",""จัดที่ดิน!BR83"")"),0)</f>
        <v>0</v>
      </c>
      <c r="K726" s="881">
        <f t="shared" ca="1" si="291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IFERROR(__xludf.DUMMYFUNCTION("IMPORTRANGE(""https://docs.google.com/spreadsheets/d/1XWAQStnk-4SwqDmLtmXYiTMKHgktTP8We1SCoS47DrQ/edit?usp=sharing"",""จัดที่ดิน!BS83"")"),0)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IFERROR(__xludf.DUMMYFUNCTION("IMPORTRANGE(""https://docs.google.com/spreadsheets/d/1QqKyyYR6Q21VydFLVH3TRQUabQu_ym0Zz7PgGX0-kHA/edit?usp=sharing"",""แผน!IO83"")"),0)</f>
        <v>0</v>
      </c>
      <c r="J728" s="880">
        <f ca="1">IFERROR(__xludf.DUMMYFUNCTION("IMPORTRANGE(""https://docs.google.com/spreadsheets/d/1XWAQStnk-4SwqDmLtmXYiTMKHgktTP8We1SCoS47DrQ/edit?usp=sharing"",""จัดที่ดิน!BT83"")"),0)</f>
        <v>0</v>
      </c>
      <c r="K728" s="881">
        <f t="shared" ref="K728:K729" ca="1" si="292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IFERROR(__xludf.DUMMYFUNCTION("IMPORTRANGE(""https://docs.google.com/spreadsheets/d/1QqKyyYR6Q21VydFLVH3TRQUabQu_ym0Zz7PgGX0-kHA/edit?usp=sharing"",""แผน!IP83"")"),0)</f>
        <v>0</v>
      </c>
      <c r="J729" s="1019">
        <f>J732+J735</f>
        <v>0</v>
      </c>
      <c r="K729" s="1020">
        <f t="shared" ca="1" si="292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3">L738+L739</f>
        <v>0</v>
      </c>
      <c r="M737" s="1352">
        <f t="shared" si="293"/>
        <v>0</v>
      </c>
      <c r="N737" s="1352">
        <f t="shared" si="293"/>
        <v>0</v>
      </c>
      <c r="O737" s="1352">
        <f t="shared" ref="O737:O742" si="294">IF(L737&gt;0,N737*100/L737,0)</f>
        <v>0</v>
      </c>
      <c r="P737" s="1352">
        <f t="shared" ref="P737:P742" si="295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6">L741+L748</f>
        <v>0</v>
      </c>
      <c r="M738" s="887">
        <f t="shared" si="296"/>
        <v>0</v>
      </c>
      <c r="N738" s="887">
        <f t="shared" si="296"/>
        <v>0</v>
      </c>
      <c r="O738" s="887">
        <f t="shared" si="294"/>
        <v>0</v>
      </c>
      <c r="P738" s="887">
        <f t="shared" si="295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6"/>
        <v>0</v>
      </c>
      <c r="M739" s="887">
        <f t="shared" si="296"/>
        <v>0</v>
      </c>
      <c r="N739" s="887">
        <f t="shared" si="296"/>
        <v>0</v>
      </c>
      <c r="O739" s="887">
        <f t="shared" si="294"/>
        <v>0</v>
      </c>
      <c r="P739" s="887">
        <f t="shared" si="295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7">L741+L742</f>
        <v>0</v>
      </c>
      <c r="M740" s="1352">
        <f t="shared" si="297"/>
        <v>0</v>
      </c>
      <c r="N740" s="1352">
        <f t="shared" si="297"/>
        <v>0</v>
      </c>
      <c r="O740" s="1352">
        <f t="shared" si="294"/>
        <v>0</v>
      </c>
      <c r="P740" s="1352">
        <f t="shared" si="295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4"/>
        <v>0</v>
      </c>
      <c r="P741" s="887">
        <f t="shared" si="295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4"/>
        <v>0</v>
      </c>
      <c r="P742" s="887">
        <f t="shared" si="295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8">L748+L749</f>
        <v>0</v>
      </c>
      <c r="M747" s="1352">
        <f t="shared" si="298"/>
        <v>0</v>
      </c>
      <c r="N747" s="1352">
        <f t="shared" si="298"/>
        <v>0</v>
      </c>
      <c r="O747" s="1352">
        <f t="shared" ref="O747:O749" si="299">IF(L747&gt;0,N747*100/L747,0)</f>
        <v>0</v>
      </c>
      <c r="P747" s="1352">
        <f t="shared" ref="P747:P749" si="300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299"/>
        <v>0</v>
      </c>
      <c r="P748" s="887">
        <f t="shared" si="300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299"/>
        <v>0</v>
      </c>
      <c r="P749" s="887">
        <f t="shared" si="300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1">L755+L756</f>
        <v>0</v>
      </c>
      <c r="M754" s="1352">
        <f t="shared" si="301"/>
        <v>0</v>
      </c>
      <c r="N754" s="1352">
        <f t="shared" si="301"/>
        <v>0</v>
      </c>
      <c r="O754" s="1352">
        <f t="shared" ref="O754:O759" si="302">IF(L754&gt;0,N754*100/L754,0)</f>
        <v>0</v>
      </c>
      <c r="P754" s="1352">
        <f t="shared" ref="P754:P759" si="303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4">L758+L765</f>
        <v>0</v>
      </c>
      <c r="M755" s="887">
        <f t="shared" si="304"/>
        <v>0</v>
      </c>
      <c r="N755" s="887">
        <f t="shared" si="304"/>
        <v>0</v>
      </c>
      <c r="O755" s="887">
        <f t="shared" si="302"/>
        <v>0</v>
      </c>
      <c r="P755" s="887">
        <f t="shared" si="303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4"/>
        <v>0</v>
      </c>
      <c r="M756" s="887">
        <f t="shared" si="304"/>
        <v>0</v>
      </c>
      <c r="N756" s="887">
        <f t="shared" si="304"/>
        <v>0</v>
      </c>
      <c r="O756" s="887">
        <f t="shared" si="302"/>
        <v>0</v>
      </c>
      <c r="P756" s="887">
        <f t="shared" si="303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5">L758+L759</f>
        <v>0</v>
      </c>
      <c r="M757" s="1352">
        <f t="shared" si="305"/>
        <v>0</v>
      </c>
      <c r="N757" s="1352">
        <f t="shared" si="305"/>
        <v>0</v>
      </c>
      <c r="O757" s="1352">
        <f t="shared" si="302"/>
        <v>0</v>
      </c>
      <c r="P757" s="1352">
        <f t="shared" si="303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2"/>
        <v>0</v>
      </c>
      <c r="P758" s="887">
        <f t="shared" si="303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2"/>
        <v>0</v>
      </c>
      <c r="P759" s="887">
        <f t="shared" si="303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6">L765+L766</f>
        <v>0</v>
      </c>
      <c r="M764" s="1352">
        <f t="shared" si="306"/>
        <v>0</v>
      </c>
      <c r="N764" s="1352">
        <f t="shared" si="306"/>
        <v>0</v>
      </c>
      <c r="O764" s="1352">
        <f t="shared" ref="O764:O766" si="307">IF(L764&gt;0,N764*100/L764,0)</f>
        <v>0</v>
      </c>
      <c r="P764" s="1352">
        <f t="shared" ref="P764:P766" si="308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7"/>
        <v>0</v>
      </c>
      <c r="P765" s="887">
        <f t="shared" si="308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7"/>
        <v>0</v>
      </c>
      <c r="P766" s="887">
        <f t="shared" si="308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09">L771+L772</f>
        <v>0</v>
      </c>
      <c r="M770" s="1352">
        <f t="shared" si="309"/>
        <v>0</v>
      </c>
      <c r="N770" s="1352">
        <f t="shared" si="309"/>
        <v>0</v>
      </c>
      <c r="O770" s="1352">
        <f t="shared" ref="O770:O775" si="310">IF(L770&gt;0,N770*100/L770,0)</f>
        <v>0</v>
      </c>
      <c r="P770" s="1352">
        <f t="shared" ref="P770:P775" si="311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2">L774+L781</f>
        <v>0</v>
      </c>
      <c r="M771" s="887">
        <f t="shared" si="312"/>
        <v>0</v>
      </c>
      <c r="N771" s="887">
        <f t="shared" si="312"/>
        <v>0</v>
      </c>
      <c r="O771" s="887">
        <f t="shared" si="310"/>
        <v>0</v>
      </c>
      <c r="P771" s="887">
        <f t="shared" si="311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2"/>
        <v>0</v>
      </c>
      <c r="M772" s="887">
        <f t="shared" si="312"/>
        <v>0</v>
      </c>
      <c r="N772" s="887">
        <f t="shared" si="312"/>
        <v>0</v>
      </c>
      <c r="O772" s="887">
        <f t="shared" si="310"/>
        <v>0</v>
      </c>
      <c r="P772" s="887">
        <f t="shared" si="311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3">L774+L775</f>
        <v>0</v>
      </c>
      <c r="M773" s="1352">
        <f t="shared" si="313"/>
        <v>0</v>
      </c>
      <c r="N773" s="1352">
        <f t="shared" si="313"/>
        <v>0</v>
      </c>
      <c r="O773" s="1352">
        <f t="shared" si="310"/>
        <v>0</v>
      </c>
      <c r="P773" s="1352">
        <f t="shared" si="311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0"/>
        <v>0</v>
      </c>
      <c r="P774" s="887">
        <f t="shared" si="311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0"/>
        <v>0</v>
      </c>
      <c r="P775" s="887">
        <f t="shared" si="311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4">L781+L782</f>
        <v>0</v>
      </c>
      <c r="M780" s="1352">
        <f t="shared" si="314"/>
        <v>0</v>
      </c>
      <c r="N780" s="1352">
        <f t="shared" si="314"/>
        <v>0</v>
      </c>
      <c r="O780" s="1352">
        <f t="shared" ref="O780:O782" si="315">IF(L780&gt;0,N780*100/L780,0)</f>
        <v>0</v>
      </c>
      <c r="P780" s="1352">
        <f t="shared" ref="P780:P782" si="316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5"/>
        <v>0</v>
      </c>
      <c r="P781" s="887">
        <f t="shared" si="316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5"/>
        <v>0</v>
      </c>
      <c r="P782" s="887">
        <f t="shared" si="316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7">I800</f>
        <v>0</v>
      </c>
      <c r="J785" s="1472">
        <f t="shared" ca="1" si="317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8">L787+L788</f>
        <v>0</v>
      </c>
      <c r="M786" s="1020">
        <f t="shared" si="318"/>
        <v>0</v>
      </c>
      <c r="N786" s="1020">
        <f t="shared" si="318"/>
        <v>0</v>
      </c>
      <c r="O786" s="1020">
        <f t="shared" ref="O786:O791" ca="1" si="319">IF(L786&gt;0,N786*100/L786,0)</f>
        <v>0</v>
      </c>
      <c r="P786" s="1020">
        <f t="shared" ref="P786:P791" si="320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1">L790+L797</f>
        <v>0</v>
      </c>
      <c r="M787" s="887">
        <f t="shared" si="321"/>
        <v>0</v>
      </c>
      <c r="N787" s="887">
        <f t="shared" si="321"/>
        <v>0</v>
      </c>
      <c r="O787" s="887">
        <f t="shared" si="319"/>
        <v>0</v>
      </c>
      <c r="P787" s="887">
        <f t="shared" si="320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1"/>
        <v>0</v>
      </c>
      <c r="M788" s="887">
        <f t="shared" si="321"/>
        <v>0</v>
      </c>
      <c r="N788" s="887">
        <f t="shared" si="321"/>
        <v>0</v>
      </c>
      <c r="O788" s="887">
        <f t="shared" ca="1" si="319"/>
        <v>0</v>
      </c>
      <c r="P788" s="887">
        <f t="shared" si="320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2">L790+L791</f>
        <v>0</v>
      </c>
      <c r="M789" s="881">
        <f t="shared" si="322"/>
        <v>0</v>
      </c>
      <c r="N789" s="881">
        <f t="shared" si="322"/>
        <v>0</v>
      </c>
      <c r="O789" s="881">
        <f t="shared" ca="1" si="319"/>
        <v>0</v>
      </c>
      <c r="P789" s="881">
        <f t="shared" si="320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19"/>
        <v>0</v>
      </c>
      <c r="P790" s="887">
        <f t="shared" si="320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IFERROR(__xludf.DUMMYFUNCTION("IMPORTRANGE(""https://docs.google.com/spreadsheets/d/1QqKyyYR6Q21VydFLVH3TRQUabQu_ym0Zz7PgGX0-kHA/edit?usp=sharing"",""แผน!JJ83"")"),0)</f>
        <v>0</v>
      </c>
      <c r="M791" s="887">
        <v>0</v>
      </c>
      <c r="N791" s="887">
        <f>N792+N793+N794+N795</f>
        <v>0</v>
      </c>
      <c r="O791" s="887">
        <f t="shared" ca="1" si="319"/>
        <v>0</v>
      </c>
      <c r="P791" s="887">
        <f t="shared" si="320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3">L797+L798</f>
        <v>0</v>
      </c>
      <c r="M796" s="881">
        <f t="shared" si="323"/>
        <v>0</v>
      </c>
      <c r="N796" s="881">
        <f t="shared" si="323"/>
        <v>0</v>
      </c>
      <c r="O796" s="881">
        <f t="shared" ref="O796:O798" si="324">IF(L796&gt;0,N796*100/L796,0)</f>
        <v>0</v>
      </c>
      <c r="P796" s="881">
        <f t="shared" ref="P796:P798" si="325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4"/>
        <v>0</v>
      </c>
      <c r="P797" s="887">
        <f t="shared" si="325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4"/>
        <v>0</v>
      </c>
      <c r="P798" s="887">
        <f t="shared" si="325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IFERROR(__xludf.DUMMYFUNCTION("IMPORTRANGE(""https://docs.google.com/spreadsheets/d/1QqKyyYR6Q21VydFLVH3TRQUabQu_ym0Zz7PgGX0-kHA/edit?usp=sharing"",""แผน!JN83"")"),0)</f>
        <v>0</v>
      </c>
      <c r="J800" s="997">
        <f ca="1">IFERROR(__xludf.DUMMYFUNCTION("IMPORTRANGE(""https://docs.google.com/spreadsheets/d/1MaWodYyGHDf7siQLGxnXhG4mBNTNIuy296niS2xXulU/edit?usp=sharing"",""RTK!H83"")"),0)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IFERROR(__xludf.DUMMYFUNCTION("IMPORTRANGE(""https://docs.google.com/spreadsheets/d/1MaWodYyGHDf7siQLGxnXhG4mBNTNIuy296niS2xXulU/edit?usp=sharing"",""RTK!I83"")"),0)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>
        <v>0</v>
      </c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>
        <v>0</v>
      </c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6">L806+L807</f>
        <v>0</v>
      </c>
      <c r="M805" s="1352">
        <f t="shared" si="326"/>
        <v>0</v>
      </c>
      <c r="N805" s="1352">
        <f t="shared" si="326"/>
        <v>0</v>
      </c>
      <c r="O805" s="1352">
        <f t="shared" ref="O805:O810" si="327">IF(L805&gt;0,N805*100/L805,0)</f>
        <v>0</v>
      </c>
      <c r="P805" s="1352">
        <f t="shared" ref="P805:P810" si="328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29">L809+L816</f>
        <v>0</v>
      </c>
      <c r="M806" s="887">
        <f t="shared" si="329"/>
        <v>0</v>
      </c>
      <c r="N806" s="887">
        <f t="shared" si="329"/>
        <v>0</v>
      </c>
      <c r="O806" s="887">
        <f t="shared" si="327"/>
        <v>0</v>
      </c>
      <c r="P806" s="887">
        <f t="shared" si="328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29"/>
        <v>0</v>
      </c>
      <c r="M807" s="887">
        <f t="shared" si="329"/>
        <v>0</v>
      </c>
      <c r="N807" s="887">
        <f t="shared" si="329"/>
        <v>0</v>
      </c>
      <c r="O807" s="887">
        <f t="shared" si="327"/>
        <v>0</v>
      </c>
      <c r="P807" s="887">
        <f t="shared" si="328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0">L809+L810</f>
        <v>0</v>
      </c>
      <c r="M808" s="1352">
        <f t="shared" si="330"/>
        <v>0</v>
      </c>
      <c r="N808" s="1352">
        <f t="shared" si="330"/>
        <v>0</v>
      </c>
      <c r="O808" s="1352">
        <f t="shared" si="327"/>
        <v>0</v>
      </c>
      <c r="P808" s="1352">
        <f t="shared" si="328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7"/>
        <v>0</v>
      </c>
      <c r="P809" s="887">
        <f t="shared" si="328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7"/>
        <v>0</v>
      </c>
      <c r="P810" s="887">
        <f t="shared" si="328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1">L816+L817</f>
        <v>0</v>
      </c>
      <c r="M815" s="1352">
        <f t="shared" si="331"/>
        <v>0</v>
      </c>
      <c r="N815" s="1352">
        <f t="shared" si="331"/>
        <v>0</v>
      </c>
      <c r="O815" s="1352">
        <f t="shared" ref="O815:O817" si="332">IF(L815&gt;0,N815*100/L815,0)</f>
        <v>0</v>
      </c>
      <c r="P815" s="1352">
        <f t="shared" ref="P815:P817" si="333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2"/>
        <v>0</v>
      </c>
      <c r="P816" s="887">
        <f t="shared" si="333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2"/>
        <v>0</v>
      </c>
      <c r="P817" s="887">
        <f t="shared" si="333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343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IFERROR(__xludf.DUMMYFUNCTION("IMPORTRANGE(""https://docs.google.com/spreadsheets/d/19vJNZY_5yjcGF2XGBMNZRCAIB0Kwfpjp8YEOfu-bneM/edit?usp=sharing"",""งานกองทุน!D83"")"),699747.07)</f>
        <v>699747.07</v>
      </c>
      <c r="J821" s="880">
        <f ca="1">IFERROR(__xludf.DUMMYFUNCTION("IMPORTRANGE(""https://docs.google.com/spreadsheets/d/19vJNZY_5yjcGF2XGBMNZRCAIB0Kwfpjp8YEOfu-bneM/edit?usp=sharing"",""งานกองทุน!F83"")"),243501.38)</f>
        <v>243501.38</v>
      </c>
      <c r="K821" s="881">
        <f t="shared" ref="K821:K828" ca="1" si="334">IF(I821&gt;0,J821*100/I821,0)</f>
        <v>34.798485115486088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IFERROR(__xludf.DUMMYFUNCTION("IMPORTRANGE(""https://docs.google.com/spreadsheets/d/19vJNZY_5yjcGF2XGBMNZRCAIB0Kwfpjp8YEOfu-bneM/edit?usp=sharing"",""งานกองทุน!C83"")"),37)</f>
        <v>37</v>
      </c>
      <c r="J822" s="880">
        <f ca="1">IFERROR(__xludf.DUMMYFUNCTION("IMPORTRANGE(""https://docs.google.com/spreadsheets/d/19vJNZY_5yjcGF2XGBMNZRCAIB0Kwfpjp8YEOfu-bneM/edit?usp=sharing"",""งานกองทุน!E83"")"),17)</f>
        <v>17</v>
      </c>
      <c r="K822" s="881">
        <f t="shared" ca="1" si="334"/>
        <v>45.945945945945944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 t="str">
        <f ca="1">IFERROR(__xludf.DUMMYFUNCTION("IMPORTRANGE(""https://docs.google.com/spreadsheets/d/19vJNZY_5yjcGF2XGBMNZRCAIB0Kwfpjp8YEOfu-bneM/edit?usp=sharing"",""งานกองทุน!I83"")"),"")</f>
        <v/>
      </c>
      <c r="J823" s="880">
        <f ca="1">IFERROR(__xludf.DUMMYFUNCTION("IMPORTRANGE(""https://docs.google.com/spreadsheets/d/19vJNZY_5yjcGF2XGBMNZRCAIB0Kwfpjp8YEOfu-bneM/edit?usp=sharing"",""งานกองทุน!K83"")"),0)</f>
        <v>0</v>
      </c>
      <c r="K823" s="881" t="e">
        <f t="shared" ca="1" si="334"/>
        <v>#VALUE!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 t="str">
        <f ca="1">IFERROR(__xludf.DUMMYFUNCTION("IMPORTRANGE(""https://docs.google.com/spreadsheets/d/19vJNZY_5yjcGF2XGBMNZRCAIB0Kwfpjp8YEOfu-bneM/edit?usp=sharing"",""งานกองทุน!H83"")"),"")</f>
        <v/>
      </c>
      <c r="J824" s="880">
        <f ca="1">IFERROR(__xludf.DUMMYFUNCTION("IMPORTRANGE(""https://docs.google.com/spreadsheets/d/19vJNZY_5yjcGF2XGBMNZRCAIB0Kwfpjp8YEOfu-bneM/edit?usp=sharing"",""งานกองทุน!J83"")"),0)</f>
        <v>0</v>
      </c>
      <c r="K824" s="881" t="e">
        <f t="shared" ca="1" si="334"/>
        <v>#VALUE!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IFERROR(__xludf.DUMMYFUNCTION("IMPORTRANGE(""https://docs.google.com/spreadsheets/d/19vJNZY_5yjcGF2XGBMNZRCAIB0Kwfpjp8YEOfu-bneM/edit?usp=sharing"",""งานกองทุน!N83"")"),0)</f>
        <v>0</v>
      </c>
      <c r="J825" s="880">
        <f ca="1">IFERROR(__xludf.DUMMYFUNCTION("IMPORTRANGE(""https://docs.google.com/spreadsheets/d/19vJNZY_5yjcGF2XGBMNZRCAIB0Kwfpjp8YEOfu-bneM/edit?usp=sharing"",""งานกองทุน!P83"")"),0)</f>
        <v>0</v>
      </c>
      <c r="K825" s="881">
        <f t="shared" ca="1" si="334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IFERROR(__xludf.DUMMYFUNCTION("IMPORTRANGE(""https://docs.google.com/spreadsheets/d/19vJNZY_5yjcGF2XGBMNZRCAIB0Kwfpjp8YEOfu-bneM/edit?usp=sharing"",""งานกองทุน!M83"")"),0)</f>
        <v>0</v>
      </c>
      <c r="J826" s="880">
        <f ca="1">IFERROR(__xludf.DUMMYFUNCTION("IMPORTRANGE(""https://docs.google.com/spreadsheets/d/19vJNZY_5yjcGF2XGBMNZRCAIB0Kwfpjp8YEOfu-bneM/edit?usp=sharing"",""งานกองทุน!O83"")"),0)</f>
        <v>0</v>
      </c>
      <c r="K826" s="881">
        <f t="shared" ca="1" si="334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IFERROR(__xludf.DUMMYFUNCTION("IMPORTRANGE(""https://docs.google.com/spreadsheets/d/19vJNZY_5yjcGF2XGBMNZRCAIB0Kwfpjp8YEOfu-bneM/edit?usp=sharing"",""งานกองทุน!S83"")"),200000)</f>
        <v>200000</v>
      </c>
      <c r="J827" s="880">
        <f ca="1">IFERROR(__xludf.DUMMYFUNCTION("IMPORTRANGE(""https://docs.google.com/spreadsheets/d/19vJNZY_5yjcGF2XGBMNZRCAIB0Kwfpjp8YEOfu-bneM/edit?usp=sharing"",""งานกองทุน!U83"")"),300000)</f>
        <v>300000</v>
      </c>
      <c r="K827" s="881">
        <f t="shared" ca="1" si="334"/>
        <v>150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IFERROR(__xludf.DUMMYFUNCTION("IMPORTRANGE(""https://docs.google.com/spreadsheets/d/19vJNZY_5yjcGF2XGBMNZRCAIB0Kwfpjp8YEOfu-bneM/edit?usp=sharing"",""งานกองทุน!R83"")"),8)</f>
        <v>8</v>
      </c>
      <c r="J828" s="1138">
        <f ca="1">IFERROR(__xludf.DUMMYFUNCTION("IMPORTRANGE(""https://docs.google.com/spreadsheets/d/19vJNZY_5yjcGF2XGBMNZRCAIB0Kwfpjp8YEOfu-bneM/edit?usp=sharing"",""งานกองทุน!T83"")"),6)</f>
        <v>6</v>
      </c>
      <c r="K828" s="1239">
        <f t="shared" ca="1" si="334"/>
        <v>75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BE6E1-F26E-4CA3-AB20-54B45D89D0E9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A3" sqref="A3:P3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351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2885815</v>
      </c>
      <c r="M8" s="867">
        <f t="shared" ca="1" si="0"/>
        <v>2509385</v>
      </c>
      <c r="N8" s="867">
        <f t="shared" ca="1" si="0"/>
        <v>1576831.79</v>
      </c>
      <c r="O8" s="867">
        <f t="shared" ref="O8:O16" ca="1" si="1">IF(L8&gt;0,N8*100/L8,0)</f>
        <v>54.640778774800189</v>
      </c>
      <c r="P8" s="867">
        <f t="shared" ref="P8:P16" ca="1" si="2">IF(M8&gt;0,N8*100/M8,0)</f>
        <v>62.837380075197707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2885815</v>
      </c>
      <c r="M10" s="874">
        <f t="shared" ca="1" si="3"/>
        <v>2509385</v>
      </c>
      <c r="N10" s="874">
        <f t="shared" ca="1" si="3"/>
        <v>1576831.79</v>
      </c>
      <c r="O10" s="874">
        <f t="shared" ca="1" si="1"/>
        <v>54.640778774800189</v>
      </c>
      <c r="P10" s="874">
        <f t="shared" ca="1" si="2"/>
        <v>62.837380075197707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2724015</v>
      </c>
      <c r="M11" s="881">
        <f t="shared" ca="1" si="4"/>
        <v>2347585</v>
      </c>
      <c r="N11" s="881">
        <f t="shared" ca="1" si="4"/>
        <v>1415031.79</v>
      </c>
      <c r="O11" s="881">
        <f t="shared" ca="1" si="1"/>
        <v>51.946549119590017</v>
      </c>
      <c r="P11" s="881">
        <f t="shared" ca="1" si="2"/>
        <v>60.276061995625291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2724015</v>
      </c>
      <c r="M13" s="887">
        <f t="shared" ca="1" si="5"/>
        <v>2347585</v>
      </c>
      <c r="N13" s="887">
        <f t="shared" ca="1" si="5"/>
        <v>1415031.79</v>
      </c>
      <c r="O13" s="887">
        <f t="shared" ca="1" si="1"/>
        <v>51.946549119590017</v>
      </c>
      <c r="P13" s="887">
        <f t="shared" ca="1" si="2"/>
        <v>60.276061995625291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161800</v>
      </c>
      <c r="M14" s="881">
        <f t="shared" ca="1" si="6"/>
        <v>161800</v>
      </c>
      <c r="N14" s="881">
        <f t="shared" ca="1" si="6"/>
        <v>161800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161800</v>
      </c>
      <c r="M16" s="893">
        <f t="shared" ca="1" si="7"/>
        <v>161800</v>
      </c>
      <c r="N16" s="893">
        <f t="shared" ca="1" si="7"/>
        <v>161800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2091540</v>
      </c>
      <c r="M18" s="867">
        <f t="shared" ca="1" si="8"/>
        <v>1715110</v>
      </c>
      <c r="N18" s="867">
        <f t="shared" ca="1" si="8"/>
        <v>1153595.79</v>
      </c>
      <c r="O18" s="867">
        <f t="shared" ref="O18:O26" ca="1" si="9">IF(L18&gt;0,N18*100/L18,0)</f>
        <v>55.155330043891105</v>
      </c>
      <c r="P18" s="867">
        <f t="shared" ref="P18:P26" ca="1" si="10">IF(M18&gt;0,N18*100/M18,0)</f>
        <v>67.260746541038188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2091540</v>
      </c>
      <c r="M20" s="874">
        <f t="shared" ca="1" si="11"/>
        <v>1715110</v>
      </c>
      <c r="N20" s="874">
        <f t="shared" ca="1" si="11"/>
        <v>1153595.79</v>
      </c>
      <c r="O20" s="874">
        <f t="shared" ca="1" si="9"/>
        <v>55.155330043891105</v>
      </c>
      <c r="P20" s="874">
        <f t="shared" ca="1" si="10"/>
        <v>67.260746541038188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1929740</v>
      </c>
      <c r="M21" s="881">
        <f t="shared" ca="1" si="12"/>
        <v>1553310</v>
      </c>
      <c r="N21" s="881">
        <f t="shared" ca="1" si="12"/>
        <v>991795.79</v>
      </c>
      <c r="O21" s="881">
        <f t="shared" ca="1" si="9"/>
        <v>51.395306621617422</v>
      </c>
      <c r="P21" s="881">
        <f t="shared" ca="1" si="10"/>
        <v>63.850473504966814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1929740</v>
      </c>
      <c r="M23" s="887">
        <f t="shared" ca="1" si="13"/>
        <v>1553310</v>
      </c>
      <c r="N23" s="887">
        <f t="shared" ca="1" si="13"/>
        <v>991795.79</v>
      </c>
      <c r="O23" s="887">
        <f t="shared" ca="1" si="9"/>
        <v>51.395306621617422</v>
      </c>
      <c r="P23" s="887">
        <f t="shared" ca="1" si="10"/>
        <v>63.850473504966814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161800</v>
      </c>
      <c r="M24" s="881">
        <f t="shared" ca="1" si="14"/>
        <v>161800</v>
      </c>
      <c r="N24" s="881">
        <f t="shared" ca="1" si="14"/>
        <v>161800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161800</v>
      </c>
      <c r="M26" s="893">
        <f t="shared" ca="1" si="15"/>
        <v>161800</v>
      </c>
      <c r="N26" s="893">
        <f t="shared" ca="1" si="15"/>
        <v>161800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794275</v>
      </c>
      <c r="M28" s="867">
        <f t="shared" ca="1" si="16"/>
        <v>794275</v>
      </c>
      <c r="N28" s="867">
        <f t="shared" si="16"/>
        <v>423236</v>
      </c>
      <c r="O28" s="867">
        <f t="shared" ref="O28:O37" ca="1" si="17">IF(L28&gt;0,N28*100/L28,0)</f>
        <v>53.285826697302575</v>
      </c>
      <c r="P28" s="867">
        <f t="shared" ref="P28:P37" ca="1" si="18">IF(M28&gt;0,N28*100/M28,0)</f>
        <v>53.285826697302575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794275</v>
      </c>
      <c r="M30" s="874">
        <f t="shared" ca="1" si="19"/>
        <v>794275</v>
      </c>
      <c r="N30" s="874">
        <f t="shared" si="19"/>
        <v>423236</v>
      </c>
      <c r="O30" s="874">
        <f t="shared" ca="1" si="17"/>
        <v>53.285826697302575</v>
      </c>
      <c r="P30" s="874">
        <f t="shared" ca="1" si="18"/>
        <v>53.285826697302575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794275</v>
      </c>
      <c r="M31" s="881">
        <f t="shared" ca="1" si="20"/>
        <v>794275</v>
      </c>
      <c r="N31" s="881">
        <f t="shared" si="20"/>
        <v>423236</v>
      </c>
      <c r="O31" s="881">
        <f t="shared" ca="1" si="17"/>
        <v>53.285826697302575</v>
      </c>
      <c r="P31" s="881">
        <f t="shared" ca="1" si="18"/>
        <v>53.285826697302575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794275</v>
      </c>
      <c r="M33" s="887">
        <f t="shared" ca="1" si="21"/>
        <v>794275</v>
      </c>
      <c r="N33" s="887">
        <f t="shared" si="21"/>
        <v>423236</v>
      </c>
      <c r="O33" s="887">
        <f t="shared" ca="1" si="17"/>
        <v>53.285826697302575</v>
      </c>
      <c r="P33" s="887">
        <f t="shared" ca="1" si="18"/>
        <v>53.285826697302575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2091540</v>
      </c>
      <c r="M37" s="900">
        <f t="shared" ca="1" si="24"/>
        <v>1715110</v>
      </c>
      <c r="N37" s="900">
        <f t="shared" ca="1" si="24"/>
        <v>1153595.79</v>
      </c>
      <c r="O37" s="900">
        <f t="shared" ca="1" si="17"/>
        <v>55.155330043891105</v>
      </c>
      <c r="P37" s="900">
        <f t="shared" ca="1" si="18"/>
        <v>67.260746541038188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186700</v>
      </c>
      <c r="M41" s="926">
        <f t="shared" ca="1" si="25"/>
        <v>226620</v>
      </c>
      <c r="N41" s="926">
        <f t="shared" ca="1" si="25"/>
        <v>114393</v>
      </c>
      <c r="O41" s="926">
        <f t="shared" ref="O41:O49" ca="1" si="26">IF(L41&gt;0,N41*100/L41,0)</f>
        <v>61.271023031601501</v>
      </c>
      <c r="P41" s="926">
        <f t="shared" ref="P41:P49" ca="1" si="27">IF(M41&gt;0,N41*100/M41,0)</f>
        <v>50.477892507280913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186700</v>
      </c>
      <c r="M43" s="932">
        <f t="shared" ca="1" si="28"/>
        <v>226620</v>
      </c>
      <c r="N43" s="932">
        <f t="shared" ca="1" si="28"/>
        <v>114393</v>
      </c>
      <c r="O43" s="932">
        <f t="shared" ca="1" si="26"/>
        <v>61.271023031601501</v>
      </c>
      <c r="P43" s="932">
        <f t="shared" ca="1" si="27"/>
        <v>50.477892507280913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186700</v>
      </c>
      <c r="M44" s="881">
        <f t="shared" ca="1" si="29"/>
        <v>226620</v>
      </c>
      <c r="N44" s="881">
        <f t="shared" ca="1" si="29"/>
        <v>114393</v>
      </c>
      <c r="O44" s="881">
        <f t="shared" ca="1" si="26"/>
        <v>61.271023031601501</v>
      </c>
      <c r="P44" s="881">
        <f t="shared" ca="1" si="27"/>
        <v>50.477892507280913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IFERROR(__xludf.DUMMYFUNCTION("IMPORTRANGE(""https://docs.google.com/spreadsheets/d/1MeEWN-I1oV_STSDYn1IFDPWt_1FKiwhDph83XaGc0o0/edit?usp=sharing"",""งบพรบ!M84"")"),186700)</f>
        <v>186700</v>
      </c>
      <c r="M46" s="887">
        <f ca="1">IFERROR(__xludf.DUMMYFUNCTION("IMPORTRANGE(""https://docs.google.com/spreadsheets/d/1MeEWN-I1oV_STSDYn1IFDPWt_1FKiwhDph83XaGc0o0/edit?usp=sharing"",""งบพรบ!R84"")"),226620)</f>
        <v>226620</v>
      </c>
      <c r="N46" s="887">
        <f ca="1">IFERROR(__xludf.DUMMYFUNCTION("IMPORTRANGE(""https://docs.google.com/spreadsheets/d/1MeEWN-I1oV_STSDYn1IFDPWt_1FKiwhDph83XaGc0o0/edit?usp=sharing"",""งบพรบ!T84"")"),114393)</f>
        <v>114393</v>
      </c>
      <c r="O46" s="887">
        <f t="shared" ca="1" si="26"/>
        <v>61.271023031601501</v>
      </c>
      <c r="P46" s="887">
        <f t="shared" ca="1" si="27"/>
        <v>50.477892507280913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IFERROR(__xludf.DUMMYFUNCTION("IMPORTRANGE(""https://docs.google.com/spreadsheets/d/1MeEWN-I1oV_STSDYn1IFDPWt_1FKiwhDph83XaGc0o0/edit?usp=sharing"",""งบพรบ!P84"")"),0)</f>
        <v>0</v>
      </c>
      <c r="M49" s="893">
        <f ca="1">IFERROR(__xludf.DUMMYFUNCTION("IMPORTRANGE(""https://docs.google.com/spreadsheets/d/1MeEWN-I1oV_STSDYn1IFDPWt_1FKiwhDph83XaGc0o0/edit?usp=sharing"",""งบพรบ!S84"")"),0)</f>
        <v>0</v>
      </c>
      <c r="N49" s="893">
        <f ca="1">IFERROR(__xludf.DUMMYFUNCTION("IMPORTRANGE(""https://docs.google.com/spreadsheets/d/1MeEWN-I1oV_STSDYn1IFDPWt_1FKiwhDph83XaGc0o0/edit?usp=sharing"",""งบพรบ!U84"")"),0)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618600</v>
      </c>
      <c r="M53" s="956">
        <f t="shared" ca="1" si="31"/>
        <v>475950</v>
      </c>
      <c r="N53" s="956">
        <f t="shared" ca="1" si="31"/>
        <v>361829.04</v>
      </c>
      <c r="O53" s="956">
        <f t="shared" ref="O53:O61" ca="1" si="32">IF(L53&gt;0,N53*100/L53,0)</f>
        <v>58.491600387972845</v>
      </c>
      <c r="P53" s="956">
        <f t="shared" ref="P53:P61" ca="1" si="33">IF(M53&gt;0,N53*100/M53,0)</f>
        <v>76.022489757327449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618600</v>
      </c>
      <c r="M55" s="962">
        <f t="shared" ca="1" si="34"/>
        <v>475950</v>
      </c>
      <c r="N55" s="962">
        <f t="shared" ca="1" si="34"/>
        <v>361829.04</v>
      </c>
      <c r="O55" s="962">
        <f t="shared" ca="1" si="32"/>
        <v>58.491600387972845</v>
      </c>
      <c r="P55" s="962">
        <f t="shared" ca="1" si="33"/>
        <v>76.022489757327449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570600</v>
      </c>
      <c r="M56" s="881">
        <f t="shared" ca="1" si="35"/>
        <v>427950</v>
      </c>
      <c r="N56" s="881">
        <f t="shared" ca="1" si="35"/>
        <v>313829.03999999998</v>
      </c>
      <c r="O56" s="881">
        <f t="shared" ca="1" si="32"/>
        <v>54.999831756046262</v>
      </c>
      <c r="P56" s="881">
        <f t="shared" ca="1" si="33"/>
        <v>73.333109008061683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IFERROR(__xludf.DUMMYFUNCTION("IMPORTRANGE(""https://docs.google.com/spreadsheets/d/1MeEWN-I1oV_STSDYn1IFDPWt_1FKiwhDph83XaGc0o0/edit?usp=sharing"",""งบพรบ!W84"")"),570600)</f>
        <v>570600</v>
      </c>
      <c r="M58" s="887">
        <f ca="1">IFERROR(__xludf.DUMMYFUNCTION("IMPORTRANGE(""https://docs.google.com/spreadsheets/d/1MeEWN-I1oV_STSDYn1IFDPWt_1FKiwhDph83XaGc0o0/edit?usp=sharing"",""งบพรบ!AB84"")"),427950)</f>
        <v>427950</v>
      </c>
      <c r="N58" s="887">
        <f ca="1">IFERROR(__xludf.DUMMYFUNCTION("IMPORTRANGE(""https://docs.google.com/spreadsheets/d/1MeEWN-I1oV_STSDYn1IFDPWt_1FKiwhDph83XaGc0o0/edit?usp=sharing"",""งบพรบ!AD84"")"),313829.04)</f>
        <v>313829.03999999998</v>
      </c>
      <c r="O58" s="887">
        <f t="shared" ca="1" si="32"/>
        <v>54.999831756046262</v>
      </c>
      <c r="P58" s="887">
        <f t="shared" ca="1" si="33"/>
        <v>73.333109008061683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48000</v>
      </c>
      <c r="M59" s="881">
        <f t="shared" ca="1" si="36"/>
        <v>48000</v>
      </c>
      <c r="N59" s="881">
        <f t="shared" ca="1" si="36"/>
        <v>48000</v>
      </c>
      <c r="O59" s="881">
        <f t="shared" ca="1" si="32"/>
        <v>100</v>
      </c>
      <c r="P59" s="881">
        <f t="shared" ca="1" si="33"/>
        <v>100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IFERROR(__xludf.DUMMYFUNCTION("IMPORTRANGE(""https://docs.google.com/spreadsheets/d/1MeEWN-I1oV_STSDYn1IFDPWt_1FKiwhDph83XaGc0o0/edit?usp=sharing"",""งบพรบ!Z84"")"),48000)</f>
        <v>48000</v>
      </c>
      <c r="M61" s="893">
        <f ca="1">IFERROR(__xludf.DUMMYFUNCTION("IMPORTRANGE(""https://docs.google.com/spreadsheets/d/1MeEWN-I1oV_STSDYn1IFDPWt_1FKiwhDph83XaGc0o0/edit?usp=sharing"",""งบพรบ!AC84"")"),48000)</f>
        <v>48000</v>
      </c>
      <c r="N61" s="893">
        <f ca="1">IFERROR(__xludf.DUMMYFUNCTION("IMPORTRANGE(""https://docs.google.com/spreadsheets/d/1MeEWN-I1oV_STSDYn1IFDPWt_1FKiwhDph83XaGc0o0/edit?usp=sharing"",""งบพรบ!AE84"")"),48000)</f>
        <v>48000</v>
      </c>
      <c r="O61" s="893">
        <f t="shared" ca="1" si="32"/>
        <v>100</v>
      </c>
      <c r="P61" s="893">
        <f t="shared" ca="1" si="33"/>
        <v>100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IFERROR(__xludf.DUMMYFUNCTION("IMPORTRANGE(""https://docs.google.com/spreadsheets/d/1MeEWN-I1oV_STSDYn1IFDPWt_1FKiwhDph83XaGc0o0/edit?usp=sharing"",""งบพรบ!AG84"")"),0)</f>
        <v>0</v>
      </c>
      <c r="M71" s="887">
        <f ca="1">IFERROR(__xludf.DUMMYFUNCTION("IMPORTRANGE(""https://docs.google.com/spreadsheets/d/1MeEWN-I1oV_STSDYn1IFDPWt_1FKiwhDph83XaGc0o0/edit?usp=sharing"",""งบพรบ!AL84"")"),0)</f>
        <v>0</v>
      </c>
      <c r="N71" s="887">
        <f ca="1">IFERROR(__xludf.DUMMYFUNCTION("IMPORTRANGE(""https://docs.google.com/spreadsheets/d/1MeEWN-I1oV_STSDYn1IFDPWt_1FKiwhDph83XaGc0o0/edit?usp=sharing"",""งบพรบ!AN84"")"),0)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IFERROR(__xludf.DUMMYFUNCTION("IMPORTRANGE(""https://docs.google.com/spreadsheets/d/1MeEWN-I1oV_STSDYn1IFDPWt_1FKiwhDph83XaGc0o0/edit?usp=sharing"",""งบพรบ!AJ84"")"),0)</f>
        <v>0</v>
      </c>
      <c r="M74" s="887">
        <f ca="1">IFERROR(__xludf.DUMMYFUNCTION("IMPORTRANGE(""https://docs.google.com/spreadsheets/d/1MeEWN-I1oV_STSDYn1IFDPWt_1FKiwhDph83XaGc0o0/edit?usp=sharing"",""งบพรบ!AM84"")"),0)</f>
        <v>0</v>
      </c>
      <c r="N74" s="887">
        <f ca="1">IFERROR(__xludf.DUMMYFUNCTION("IMPORTRANGE(""https://docs.google.com/spreadsheets/d/1MeEWN-I1oV_STSDYn1IFDPWt_1FKiwhDph83XaGc0o0/edit?usp=sharing"",""งบพรบ!AO84"")"),0)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IFERROR(__xludf.DUMMYFUNCTION("IMPORTRANGE(""https://docs.google.com/spreadsheets/d/1QqKyyYR6Q21VydFLVH3TRQUabQu_ym0Zz7PgGX0-kHA/edit?usp=sharing"",""แผน!H84"")"),0)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IFERROR(__xludf.DUMMYFUNCTION("IMPORTRANGE(""https://docs.google.com/spreadsheets/d/1QqKyyYR6Q21VydFLVH3TRQUabQu_ym0Zz7PgGX0-kHA/edit?usp=sharing"",""แผน!I84"")"),0)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IFERROR(__xludf.DUMMYFUNCTION("IMPORTRANGE(""https://docs.google.com/spreadsheets/d/1QqKyyYR6Q21VydFLVH3TRQUabQu_ym0Zz7PgGX0-kHA/edit?usp=sharing"",""แผน!F84"")"),0)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IFERROR(__xludf.DUMMYFUNCTION("IMPORTRANGE(""https://docs.google.com/spreadsheets/d/1QqKyyYR6Q21VydFLVH3TRQUabQu_ym0Zz7PgGX0-kHA/edit?usp=sharing"",""แผน!G84"")"),0)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IFERROR(__xludf.DUMMYFUNCTION("IMPORTRANGE(""https://docs.google.com/spreadsheets/d/1QqKyyYR6Q21VydFLVH3TRQUabQu_ym0Zz7PgGX0-kHA/edit?usp=sharing"",""แผน!D84"")"),0)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IFERROR(__xludf.DUMMYFUNCTION("IMPORTRANGE(""https://docs.google.com/spreadsheets/d/1QqKyyYR6Q21VydFLVH3TRQUabQu_ym0Zz7PgGX0-kHA/edit?usp=sharing"",""แผน!E84"")"),0)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IFERROR(__xludf.DUMMYFUNCTION("IMPORTRANGE(""https://docs.google.com/spreadsheets/d/1QqKyyYR6Q21VydFLVH3TRQUabQu_ym0Zz7PgGX0-kHA/edit?usp=sharing"",""แผน!J84"")"),0)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30</v>
      </c>
      <c r="J86" s="982">
        <f t="shared" si="47"/>
        <v>30</v>
      </c>
      <c r="K86" s="983">
        <f t="shared" ref="K86:K87" ca="1" si="48">IF(I86&gt;0,J86*100/I86,0)</f>
        <v>100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10</v>
      </c>
      <c r="J87" s="982">
        <f t="shared" si="47"/>
        <v>10</v>
      </c>
      <c r="K87" s="983">
        <f t="shared" ca="1" si="48"/>
        <v>100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245340</v>
      </c>
      <c r="M88" s="992">
        <f t="shared" ca="1" si="49"/>
        <v>171040</v>
      </c>
      <c r="N88" s="992">
        <f t="shared" ca="1" si="49"/>
        <v>101659.59</v>
      </c>
      <c r="O88" s="992">
        <f t="shared" ref="O88:O96" ca="1" si="50">IF(L88&gt;0,N88*100/L88,0)</f>
        <v>41.436206896551724</v>
      </c>
      <c r="P88" s="992">
        <f t="shared" ref="P88:P96" ca="1" si="51">IF(M88&gt;0,N88*100/M88,0)</f>
        <v>59.436149438727782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245340</v>
      </c>
      <c r="M90" s="887">
        <f t="shared" ca="1" si="52"/>
        <v>171040</v>
      </c>
      <c r="N90" s="887">
        <f t="shared" ca="1" si="52"/>
        <v>101659.59</v>
      </c>
      <c r="O90" s="887">
        <f t="shared" ca="1" si="50"/>
        <v>41.436206896551724</v>
      </c>
      <c r="P90" s="887">
        <f t="shared" ca="1" si="51"/>
        <v>59.436149438727782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245340</v>
      </c>
      <c r="M91" s="881">
        <f t="shared" ca="1" si="53"/>
        <v>171040</v>
      </c>
      <c r="N91" s="881">
        <f t="shared" ca="1" si="53"/>
        <v>101659.59</v>
      </c>
      <c r="O91" s="881">
        <f t="shared" ca="1" si="50"/>
        <v>41.436206896551724</v>
      </c>
      <c r="P91" s="881">
        <f t="shared" ca="1" si="51"/>
        <v>59.436149438727782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IFERROR(__xludf.DUMMYFUNCTION("IMPORTRANGE(""https://docs.google.com/spreadsheets/d/1MeEWN-I1oV_STSDYn1IFDPWt_1FKiwhDph83XaGc0o0/edit?usp=sharing"",""งบพรบ!AQ84"")"),245340)</f>
        <v>245340</v>
      </c>
      <c r="M93" s="887">
        <f ca="1">IFERROR(__xludf.DUMMYFUNCTION("IMPORTRANGE(""https://docs.google.com/spreadsheets/d/1MeEWN-I1oV_STSDYn1IFDPWt_1FKiwhDph83XaGc0o0/edit?usp=sharing"",""งบพรบ!AV84"")"),171040)</f>
        <v>171040</v>
      </c>
      <c r="N93" s="887">
        <f ca="1">IFERROR(__xludf.DUMMYFUNCTION("IMPORTRANGE(""https://docs.google.com/spreadsheets/d/1MeEWN-I1oV_STSDYn1IFDPWt_1FKiwhDph83XaGc0o0/edit?usp=sharing"",""งบพรบ!AX84"")"),101659.59)</f>
        <v>101659.59</v>
      </c>
      <c r="O93" s="887">
        <f t="shared" ca="1" si="50"/>
        <v>41.436206896551724</v>
      </c>
      <c r="P93" s="887">
        <f t="shared" ca="1" si="51"/>
        <v>59.436149438727782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IFERROR(__xludf.DUMMYFUNCTION("IMPORTRANGE(""https://docs.google.com/spreadsheets/d/1MeEWN-I1oV_STSDYn1IFDPWt_1FKiwhDph83XaGc0o0/edit?usp=sharing"",""งบพรบ!AT84"")"),0)</f>
        <v>0</v>
      </c>
      <c r="M96" s="887">
        <f ca="1">IFERROR(__xludf.DUMMYFUNCTION("IMPORTRANGE(""https://docs.google.com/spreadsheets/d/1MeEWN-I1oV_STSDYn1IFDPWt_1FKiwhDph83XaGc0o0/edit?usp=sharing"",""งบพรบ!AW84"")"),0)</f>
        <v>0</v>
      </c>
      <c r="N96" s="887">
        <f ca="1">IFERROR(__xludf.DUMMYFUNCTION("IMPORTRANGE(""https://docs.google.com/spreadsheets/d/1MeEWN-I1oV_STSDYn1IFDPWt_1FKiwhDph83XaGc0o0/edit?usp=sharing"",""งบพรบ!AY84"")"),0)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IFERROR(__xludf.DUMMYFUNCTION("IMPORTRANGE(""https://docs.google.com/spreadsheets/d/1QqKyyYR6Q21VydFLVH3TRQUabQu_ym0Zz7PgGX0-kHA/edit?usp=sharing"",""แผน!K84"")"),30)</f>
        <v>30</v>
      </c>
      <c r="J98" s="880">
        <f>J102</f>
        <v>30</v>
      </c>
      <c r="K98" s="881">
        <f t="shared" ref="K98:K100" ca="1" si="55">IF(I98&gt;0,J98*100/I98,0)</f>
        <v>100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IFERROR(__xludf.DUMMYFUNCTION("IMPORTRANGE(""https://docs.google.com/spreadsheets/d/1QqKyyYR6Q21VydFLVH3TRQUabQu_ym0Zz7PgGX0-kHA/edit?usp=sharing"",""แผน!L84"")"),10)</f>
        <v>10</v>
      </c>
      <c r="J99" s="880">
        <f>J104</f>
        <v>10</v>
      </c>
      <c r="K99" s="881">
        <f t="shared" ca="1" si="55"/>
        <v>100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IFERROR(__xludf.DUMMYFUNCTION("IMPORTRANGE(""https://docs.google.com/spreadsheets/d/1QqKyyYR6Q21VydFLVH3TRQUabQu_ym0Zz7PgGX0-kHA/edit?usp=sharing"",""แผน!M84"")"),2)</f>
        <v>2</v>
      </c>
      <c r="J100" s="880">
        <f>J107+J110</f>
        <v>0</v>
      </c>
      <c r="K100" s="881">
        <f t="shared" ca="1" si="55"/>
        <v>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IFERROR(__xludf.DUMMYFUNCTION("IMPORTRANGE(""https://docs.google.com/spreadsheets/d/1QqKyyYR6Q21VydFLVH3TRQUabQu_ym0Zz7PgGX0-kHA/edit?usp=sharing"",""แผน!N84"")"),30)</f>
        <v>30</v>
      </c>
      <c r="J102" s="1012">
        <v>30</v>
      </c>
      <c r="K102" s="881">
        <f t="shared" ref="K102:K104" ca="1" si="56">IF(I102&gt;0,J102*100/I102,0)</f>
        <v>100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IFERROR(__xludf.DUMMYFUNCTION("IMPORTRANGE(""https://docs.google.com/spreadsheets/d/1QqKyyYR6Q21VydFLVH3TRQUabQu_ym0Zz7PgGX0-kHA/edit?usp=sharing"",""แผน!O84"")"),10)</f>
        <v>10</v>
      </c>
      <c r="J103" s="1012">
        <v>10</v>
      </c>
      <c r="K103" s="881">
        <f t="shared" ca="1" si="56"/>
        <v>100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IFERROR(__xludf.DUMMYFUNCTION("IMPORTRANGE(""https://docs.google.com/spreadsheets/d/1QqKyyYR6Q21VydFLVH3TRQUabQu_ym0Zz7PgGX0-kHA/edit?usp=sharing"",""แผน!O84"")"),10)</f>
        <v>10</v>
      </c>
      <c r="J104" s="1012">
        <v>10</v>
      </c>
      <c r="K104" s="881">
        <f t="shared" ca="1" si="56"/>
        <v>100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IFERROR(__xludf.DUMMYFUNCTION("IMPORTRANGE(""https://docs.google.com/spreadsheets/d/1QqKyyYR6Q21VydFLVH3TRQUabQu_ym0Zz7PgGX0-kHA/edit?usp=sharing"",""แผน!P84"")"),1)</f>
        <v>1</v>
      </c>
      <c r="J106" s="1012">
        <v>0</v>
      </c>
      <c r="K106" s="881">
        <f t="shared" ref="K106:K107" ca="1" si="57">IF(I106&gt;0,J106*100/I106,0)</f>
        <v>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IFERROR(__xludf.DUMMYFUNCTION("IMPORTRANGE(""https://docs.google.com/spreadsheets/d/1QqKyyYR6Q21VydFLVH3TRQUabQu_ym0Zz7PgGX0-kHA/edit?usp=sharing"",""แผน!P84"")"),1)</f>
        <v>1</v>
      </c>
      <c r="J107" s="1012">
        <v>0</v>
      </c>
      <c r="K107" s="881">
        <f t="shared" ca="1" si="57"/>
        <v>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IFERROR(__xludf.DUMMYFUNCTION("IMPORTRANGE(""https://docs.google.com/spreadsheets/d/1QqKyyYR6Q21VydFLVH3TRQUabQu_ym0Zz7PgGX0-kHA/edit?usp=sharing"",""แผน!Q84"")"),1)</f>
        <v>1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IFERROR(__xludf.DUMMYFUNCTION("IMPORTRANGE(""https://docs.google.com/spreadsheets/d/1QqKyyYR6Q21VydFLVH3TRQUabQu_ym0Zz7PgGX0-kHA/edit?usp=sharing"",""แผน!Q84"")"),1)</f>
        <v>1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IFERROR(__xludf.DUMMYFUNCTION("IMPORTRANGE(""https://docs.google.com/spreadsheets/d/1QqKyyYR6Q21VydFLVH3TRQUabQu_ym0Zz7PgGX0-kHA/edit?usp=sharing"",""แผน!R84"")"),10)</f>
        <v>10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2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IFERROR(__xludf.DUMMYFUNCTION("IMPORTRANGE(""https://docs.google.com/spreadsheets/d/1QqKyyYR6Q21VydFLVH3TRQUabQu_ym0Zz7PgGX0-kHA/edit?usp=sharing"",""แผน!R84"")"),10)</f>
        <v>10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IFERROR(__xludf.DUMMYFUNCTION("IMPORTRANGE(""https://docs.google.com/spreadsheets/d/1QqKyyYR6Q21VydFLVH3TRQUabQu_ym0Zz7PgGX0-kHA/edit?usp=sharing"",""แผน!R84"")"),10)</f>
        <v>10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IFERROR(__xludf.DUMMYFUNCTION("IMPORTRANGE(""https://docs.google.com/spreadsheets/d/1QqKyyYR6Q21VydFLVH3TRQUabQu_ym0Zz7PgGX0-kHA/edit?usp=sharing"",""แผน!S84"")"),1)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IFERROR(__xludf.DUMMYFUNCTION("IMPORTRANGE(""https://docs.google.com/spreadsheets/d/1QqKyyYR6Q21VydFLVH3TRQUabQu_ym0Zz7PgGX0-kHA/edit?usp=sharing"",""แผน!T84"")"),1)</f>
        <v>1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>
        <v>0</v>
      </c>
      <c r="J118" s="1027">
        <v>0</v>
      </c>
      <c r="K118" s="984">
        <v>0</v>
      </c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IFERROR(__xludf.DUMMYFUNCTION("IMPORTRANGE(""https://docs.google.com/spreadsheets/d/1MeEWN-I1oV_STSDYn1IFDPWt_1FKiwhDph83XaGc0o0/edit?usp=sharing"",""งบพรบ!BA84"")"),0)</f>
        <v>0</v>
      </c>
      <c r="M124" s="887">
        <f ca="1">IFERROR(__xludf.DUMMYFUNCTION("IMPORTRANGE(""https://docs.google.com/spreadsheets/d/1MeEWN-I1oV_STSDYn1IFDPWt_1FKiwhDph83XaGc0o0/edit?usp=sharing"",""งบพรบ!BF84"")"),0)</f>
        <v>0</v>
      </c>
      <c r="N124" s="887">
        <f ca="1">IFERROR(__xludf.DUMMYFUNCTION("IMPORTRANGE(""https://docs.google.com/spreadsheets/d/1MeEWN-I1oV_STSDYn1IFDPWt_1FKiwhDph83XaGc0o0/edit?usp=sharing"",""งบพรบ!BH84"")"),0)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IFERROR(__xludf.DUMMYFUNCTION("IMPORTRANGE(""https://docs.google.com/spreadsheets/d/1MeEWN-I1oV_STSDYn1IFDPWt_1FKiwhDph83XaGc0o0/edit?usp=sharing"",""งบพรบ!BD84"")"),0)</f>
        <v>0</v>
      </c>
      <c r="M127" s="887">
        <f ca="1">IFERROR(__xludf.DUMMYFUNCTION("IMPORTRANGE(""https://docs.google.com/spreadsheets/d/1MeEWN-I1oV_STSDYn1IFDPWt_1FKiwhDph83XaGc0o0/edit?usp=sharing"",""งบพรบ!BG84"")"),0)</f>
        <v>0</v>
      </c>
      <c r="N127" s="887">
        <f ca="1">IFERROR(__xludf.DUMMYFUNCTION("IMPORTRANGE(""https://docs.google.com/spreadsheets/d/1MeEWN-I1oV_STSDYn1IFDPWt_1FKiwhDph83XaGc0o0/edit?usp=sharing"",""งบพรบ!BI84"")"),0)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IFERROR(__xludf.DUMMYFUNCTION("IMPORTRANGE(""https://docs.google.com/spreadsheets/d/1MeEWN-I1oV_STSDYn1IFDPWt_1FKiwhDph83XaGc0o0/edit?usp=sharing"",""งบพรบ!BK84"")"),0)</f>
        <v>0</v>
      </c>
      <c r="M137" s="887">
        <f ca="1">IFERROR(__xludf.DUMMYFUNCTION("IMPORTRANGE(""https://docs.google.com/spreadsheets/d/1MeEWN-I1oV_STSDYn1IFDPWt_1FKiwhDph83XaGc0o0/edit?usp=sharing"",""งบพรบ!BP84"")"),0)</f>
        <v>0</v>
      </c>
      <c r="N137" s="887">
        <f ca="1">IFERROR(__xludf.DUMMYFUNCTION("IMPORTRANGE(""https://docs.google.com/spreadsheets/d/1MeEWN-I1oV_STSDYn1IFDPWt_1FKiwhDph83XaGc0o0/edit?usp=sharing"",""งบพรบ!BR84"")"),0)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IFERROR(__xludf.DUMMYFUNCTION("IMPORTRANGE(""https://docs.google.com/spreadsheets/d/1MeEWN-I1oV_STSDYn1IFDPWt_1FKiwhDph83XaGc0o0/edit?usp=sharing"",""งบพรบ!BN84"")"),0)</f>
        <v>0</v>
      </c>
      <c r="M140" s="887">
        <f ca="1">IFERROR(__xludf.DUMMYFUNCTION("IMPORTRANGE(""https://docs.google.com/spreadsheets/d/1MeEWN-I1oV_STSDYn1IFDPWt_1FKiwhDph83XaGc0o0/edit?usp=sharing"",""งบพรบ!BQ84"")"),0)</f>
        <v>0</v>
      </c>
      <c r="N140" s="887">
        <f ca="1">IFERROR(__xludf.DUMMYFUNCTION("IMPORTRANGE(""https://docs.google.com/spreadsheets/d/1MeEWN-I1oV_STSDYn1IFDPWt_1FKiwhDph83XaGc0o0/edit?usp=sharing"",""งบพรบ!BS84"")"),0)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IFERROR(__xludf.DUMMYFUNCTION("IMPORTRANGE(""https://docs.google.com/spreadsheets/d/1QqKyyYR6Q21VydFLVH3TRQUabQu_ym0Zz7PgGX0-kHA/edit?usp=sharing"",""แผน!U84"")"),0)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IFERROR(__xludf.DUMMYFUNCTION("IMPORTRANGE(""https://docs.google.com/spreadsheets/d/1QqKyyYR6Q21VydFLVH3TRQUabQu_ym0Zz7PgGX0-kHA/edit?usp=sharing"",""แผน!V84"")"),0)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IFERROR(__xludf.DUMMYFUNCTION("IMPORTRANGE(""https://docs.google.com/spreadsheets/d/1QqKyyYR6Q21VydFLVH3TRQUabQu_ym0Zz7PgGX0-kHA/edit?usp=sharing"",""แผน!W84"")"),0)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IFERROR(__xludf.DUMMYFUNCTION("IMPORTRANGE(""https://docs.google.com/spreadsheets/d/1MeEWN-I1oV_STSDYn1IFDPWt_1FKiwhDph83XaGc0o0/edit?usp=sharing"",""งบพรบ!BU84"")"),0)</f>
        <v>0</v>
      </c>
      <c r="M154" s="887">
        <f ca="1">IFERROR(__xludf.DUMMYFUNCTION("IMPORTRANGE(""https://docs.google.com/spreadsheets/d/1MeEWN-I1oV_STSDYn1IFDPWt_1FKiwhDph83XaGc0o0/edit?usp=sharing"",""งบพรบ!BZ84"")"),0)</f>
        <v>0</v>
      </c>
      <c r="N154" s="887">
        <f ca="1">IFERROR(__xludf.DUMMYFUNCTION("IMPORTRANGE(""https://docs.google.com/spreadsheets/d/1MeEWN-I1oV_STSDYn1IFDPWt_1FKiwhDph83XaGc0o0/edit?usp=sharing"",""งบพรบ!CB84"")"),0)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IFERROR(__xludf.DUMMYFUNCTION("IMPORTRANGE(""https://docs.google.com/spreadsheets/d/1MeEWN-I1oV_STSDYn1IFDPWt_1FKiwhDph83XaGc0o0/edit?usp=sharing"",""งบพรบ!BX84"")"),0)</f>
        <v>0</v>
      </c>
      <c r="M157" s="887">
        <f ca="1">IFERROR(__xludf.DUMMYFUNCTION("IMPORTRANGE(""https://docs.google.com/spreadsheets/d/1MeEWN-I1oV_STSDYn1IFDPWt_1FKiwhDph83XaGc0o0/edit?usp=sharing"",""งบพรบ!CA84"")"),0)</f>
        <v>0</v>
      </c>
      <c r="N157" s="887">
        <f ca="1">IFERROR(__xludf.DUMMYFUNCTION("IMPORTRANGE(""https://docs.google.com/spreadsheets/d/1MeEWN-I1oV_STSDYn1IFDPWt_1FKiwhDph83XaGc0o0/edit?usp=sharing"",""งบพรบ!CC84"")"),0)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IFERROR(__xludf.DUMMYFUNCTION("IMPORTRANGE(""https://docs.google.com/spreadsheets/d/1QqKyyYR6Q21VydFLVH3TRQUabQu_ym0Zz7PgGX0-kHA/edit?usp=sharing"",""แผน!X84"")"),0)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10</v>
      </c>
      <c r="J164" s="1075">
        <f t="shared" si="83"/>
        <v>10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21050</v>
      </c>
      <c r="M165" s="992">
        <f t="shared" ca="1" si="84"/>
        <v>42480</v>
      </c>
      <c r="N165" s="992">
        <f t="shared" ca="1" si="84"/>
        <v>42480</v>
      </c>
      <c r="O165" s="992">
        <f t="shared" ref="O165:O173" ca="1" si="85">IF(L165&gt;0,N165*100/L165,0)</f>
        <v>201.80522565320666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21050</v>
      </c>
      <c r="M167" s="887">
        <f t="shared" ca="1" si="87"/>
        <v>42480</v>
      </c>
      <c r="N167" s="887">
        <f t="shared" ca="1" si="87"/>
        <v>42480</v>
      </c>
      <c r="O167" s="887">
        <f t="shared" ca="1" si="85"/>
        <v>201.80522565320666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21050</v>
      </c>
      <c r="M168" s="881">
        <f t="shared" ca="1" si="88"/>
        <v>42480</v>
      </c>
      <c r="N168" s="881">
        <f t="shared" ca="1" si="88"/>
        <v>42480</v>
      </c>
      <c r="O168" s="881">
        <f t="shared" ca="1" si="85"/>
        <v>201.80522565320666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IFERROR(__xludf.DUMMYFUNCTION("IMPORTRANGE(""https://docs.google.com/spreadsheets/d/1MeEWN-I1oV_STSDYn1IFDPWt_1FKiwhDph83XaGc0o0/edit?usp=sharing"",""งบพรบ!CE84"")"),21050)</f>
        <v>21050</v>
      </c>
      <c r="M170" s="887">
        <f ca="1">IFERROR(__xludf.DUMMYFUNCTION("IMPORTRANGE(""https://docs.google.com/spreadsheets/d/1MeEWN-I1oV_STSDYn1IFDPWt_1FKiwhDph83XaGc0o0/edit?usp=sharing"",""งบพรบ!CJ84"")"),42480)</f>
        <v>42480</v>
      </c>
      <c r="N170" s="887">
        <f ca="1">IFERROR(__xludf.DUMMYFUNCTION("IMPORTRANGE(""https://docs.google.com/spreadsheets/d/1MeEWN-I1oV_STSDYn1IFDPWt_1FKiwhDph83XaGc0o0/edit?usp=sharing"",""งบพรบ!CL84"")"),42480)</f>
        <v>42480</v>
      </c>
      <c r="O170" s="887">
        <f t="shared" ca="1" si="85"/>
        <v>201.80522565320666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IFERROR(__xludf.DUMMYFUNCTION("IMPORTRANGE(""https://docs.google.com/spreadsheets/d/1MeEWN-I1oV_STSDYn1IFDPWt_1FKiwhDph83XaGc0o0/edit?usp=sharing"",""งบพรบ!CH84"")"),0)</f>
        <v>0</v>
      </c>
      <c r="M173" s="887">
        <f ca="1">IFERROR(__xludf.DUMMYFUNCTION("IMPORTRANGE(""https://docs.google.com/spreadsheets/d/1MeEWN-I1oV_STSDYn1IFDPWt_1FKiwhDph83XaGc0o0/edit?usp=sharing"",""งบพรบ!CK84"")"),0)</f>
        <v>0</v>
      </c>
      <c r="N173" s="887">
        <f ca="1">IFERROR(__xludf.DUMMYFUNCTION("IMPORTRANGE(""https://docs.google.com/spreadsheets/d/1MeEWN-I1oV_STSDYn1IFDPWt_1FKiwhDph83XaGc0o0/edit?usp=sharing"",""งบพรบ!CM84"")"),0)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10</v>
      </c>
      <c r="J174" s="1067">
        <f t="shared" si="90"/>
        <v>10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IFERROR(__xludf.DUMMYFUNCTION("IMPORTRANGE(""https://docs.google.com/spreadsheets/d/1QqKyyYR6Q21VydFLVH3TRQUabQu_ym0Zz7PgGX0-kHA/edit?usp=sharing"",""แผน!Y84"")"),10)</f>
        <v>10</v>
      </c>
      <c r="J176" s="1012">
        <v>10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25800</v>
      </c>
      <c r="M181" s="992">
        <f t="shared" ca="1" si="92"/>
        <v>20500</v>
      </c>
      <c r="N181" s="992">
        <f t="shared" ca="1" si="92"/>
        <v>12000</v>
      </c>
      <c r="O181" s="992">
        <f t="shared" ref="O181:O189" ca="1" si="93">IF(L181&gt;0,N181*100/L181,0)</f>
        <v>46.511627906976742</v>
      </c>
      <c r="P181" s="992">
        <f t="shared" ref="P181:P189" ca="1" si="94">IF(M181&gt;0,N181*100/M181,0)</f>
        <v>58.536585365853661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25800</v>
      </c>
      <c r="M183" s="887">
        <f t="shared" ca="1" si="95"/>
        <v>20500</v>
      </c>
      <c r="N183" s="887">
        <f t="shared" ca="1" si="95"/>
        <v>12000</v>
      </c>
      <c r="O183" s="887">
        <f t="shared" ca="1" si="93"/>
        <v>46.511627906976742</v>
      </c>
      <c r="P183" s="887">
        <f t="shared" ca="1" si="94"/>
        <v>58.536585365853661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25800</v>
      </c>
      <c r="M184" s="881">
        <f t="shared" ca="1" si="96"/>
        <v>20500</v>
      </c>
      <c r="N184" s="881">
        <f t="shared" ca="1" si="96"/>
        <v>12000</v>
      </c>
      <c r="O184" s="881">
        <f t="shared" ca="1" si="93"/>
        <v>46.511627906976742</v>
      </c>
      <c r="P184" s="881">
        <f t="shared" ca="1" si="94"/>
        <v>58.536585365853661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IFERROR(__xludf.DUMMYFUNCTION("IMPORTRANGE(""https://docs.google.com/spreadsheets/d/1MeEWN-I1oV_STSDYn1IFDPWt_1FKiwhDph83XaGc0o0/edit?usp=sharing"",""งบพรบ!CO84"")"),25800)</f>
        <v>25800</v>
      </c>
      <c r="M186" s="887">
        <f ca="1">IFERROR(__xludf.DUMMYFUNCTION("IMPORTRANGE(""https://docs.google.com/spreadsheets/d/1MeEWN-I1oV_STSDYn1IFDPWt_1FKiwhDph83XaGc0o0/edit?usp=sharing"",""งบพรบ!CT84"")"),20500)</f>
        <v>20500</v>
      </c>
      <c r="N186" s="887">
        <f ca="1">IFERROR(__xludf.DUMMYFUNCTION("IMPORTRANGE(""https://docs.google.com/spreadsheets/d/1MeEWN-I1oV_STSDYn1IFDPWt_1FKiwhDph83XaGc0o0/edit?usp=sharing"",""งบพรบ!CV84"")"),12000)</f>
        <v>12000</v>
      </c>
      <c r="O186" s="887">
        <f t="shared" ca="1" si="93"/>
        <v>46.511627906976742</v>
      </c>
      <c r="P186" s="887">
        <f t="shared" ca="1" si="94"/>
        <v>58.536585365853661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IFERROR(__xludf.DUMMYFUNCTION("IMPORTRANGE(""https://docs.google.com/spreadsheets/d/1MeEWN-I1oV_STSDYn1IFDPWt_1FKiwhDph83XaGc0o0/edit?usp=sharing"",""งบพรบ!CR84"")"),0)</f>
        <v>0</v>
      </c>
      <c r="M189" s="887">
        <f ca="1">IFERROR(__xludf.DUMMYFUNCTION("IMPORTRANGE(""https://docs.google.com/spreadsheets/d/1MeEWN-I1oV_STSDYn1IFDPWt_1FKiwhDph83XaGc0o0/edit?usp=sharing"",""งบพรบ!CU84"")"),0)</f>
        <v>0</v>
      </c>
      <c r="N189" s="887">
        <f ca="1">IFERROR(__xludf.DUMMYFUNCTION("IMPORTRANGE(""https://docs.google.com/spreadsheets/d/1MeEWN-I1oV_STSDYn1IFDPWt_1FKiwhDph83XaGc0o0/edit?usp=sharing"",""งบพรบ!CW84"")"),0)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IFERROR(__xludf.DUMMYFUNCTION("IMPORTRANGE(""https://docs.google.com/spreadsheets/d/1QqKyyYR6Q21VydFLVH3TRQUabQu_ym0Zz7PgGX0-kHA/edit?usp=sharing"",""แผน!Z84"")"),6000)</f>
        <v>6000</v>
      </c>
      <c r="M191" s="992"/>
      <c r="N191" s="1081">
        <v>0</v>
      </c>
      <c r="O191" s="992">
        <f ca="1">IF(L191&gt;0,N191*100/L191,0)</f>
        <v>0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IFERROR(__xludf.DUMMYFUNCTION("IMPORTRANGE(""https://docs.google.com/spreadsheets/d/1QqKyyYR6Q21VydFLVH3TRQUabQu_ym0Zz7PgGX0-kHA/edit?usp=sharing"",""แผน!AC84"")"),4)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81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81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1</v>
      </c>
      <c r="J197" s="1078">
        <f t="shared" si="99"/>
        <v>1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13000</v>
      </c>
      <c r="M198" s="992"/>
      <c r="N198" s="992">
        <f>N199+N200+N201+N202</f>
        <v>12000</v>
      </c>
      <c r="O198" s="992">
        <f ca="1">IF(L198&gt;0,N198*100/L198,0)</f>
        <v>92.307692307692307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IFERROR(__xludf.DUMMYFUNCTION("IMPORTRANGE(""https://docs.google.com/spreadsheets/d/1QqKyyYR6Q21VydFLVH3TRQUabQu_ym0Zz7PgGX0-kHA/edit?usp=sharing"",""แผน!AE84"")"),1000)</f>
        <v>1000</v>
      </c>
      <c r="M199" s="881"/>
      <c r="N199" s="1085">
        <v>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IFERROR(__xludf.DUMMYFUNCTION("IMPORTRANGE(""https://docs.google.com/spreadsheets/d/1QqKyyYR6Q21VydFLVH3TRQUabQu_ym0Zz7PgGX0-kHA/edit?usp=sharing"",""แผน!AF84"")"),8000)</f>
        <v>8000</v>
      </c>
      <c r="M200" s="881"/>
      <c r="N200" s="1085">
        <v>8000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IFERROR(__xludf.DUMMYFUNCTION("IMPORTRANGE(""https://docs.google.com/spreadsheets/d/1QqKyyYR6Q21VydFLVH3TRQUabQu_ym0Zz7PgGX0-kHA/edit?usp=sharing"",""แผน!AG84"")"),4000)</f>
        <v>4000</v>
      </c>
      <c r="M201" s="881"/>
      <c r="N201" s="1085">
        <v>4000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IFERROR(__xludf.DUMMYFUNCTION("IMPORTRANGE(""https://docs.google.com/spreadsheets/d/1QqKyyYR6Q21VydFLVH3TRQUabQu_ym0Zz7PgGX0-kHA/edit?usp=sharing"",""แผน!AH84"")"),0)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IFERROR(__xludf.DUMMYFUNCTION("IMPORTRANGE(""https://docs.google.com/spreadsheets/d/1QqKyyYR6Q21VydFLVH3TRQUabQu_ym0Zz7PgGX0-kHA/edit?usp=sharing"",""แผน!AI84"")"),1)</f>
        <v>1</v>
      </c>
      <c r="J204" s="1012">
        <v>1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1</v>
      </c>
      <c r="J206" s="1012">
        <v>1</v>
      </c>
      <c r="K206" s="998">
        <f t="shared" ref="K206:K208" si="100">IF(I206&gt;0,J206*100/I206,0)</f>
        <v>100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IFERROR(__xludf.DUMMYFUNCTION("IMPORTRANGE(""https://docs.google.com/spreadsheets/d/1QqKyyYR6Q21VydFLVH3TRQUabQu_ym0Zz7PgGX0-kHA/edit?usp=sharing"",""แผน!AK84"")"),0)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IFERROR(__xludf.DUMMYFUNCTION("IMPORTRANGE(""https://docs.google.com/spreadsheets/d/1QqKyyYR6Q21VydFLVH3TRQUabQu_ym0Zz7PgGX0-kHA/edit?usp=sharing"",""แผน!AL84"")"),0)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IFERROR(__xludf.DUMMYFUNCTION("IMPORTRANGE(""https://docs.google.com/spreadsheets/d/1QqKyyYR6Q21VydFLVH3TRQUabQu_ym0Zz7PgGX0-kHA/edit?usp=sharing"",""แผน!AM84"")"),0)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IFERROR(__xludf.DUMMYFUNCTION("IMPORTRANGE(""https://docs.google.com/spreadsheets/d/1QqKyyYR6Q21VydFLVH3TRQUabQu_ym0Zz7PgGX0-kHA/edit?usp=sharing"",""แผน!AN84"")"),0)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IFERROR(__xludf.DUMMYFUNCTION("IMPORTRANGE(""https://docs.google.com/spreadsheets/d/1QqKyyYR6Q21VydFLVH3TRQUabQu_ym0Zz7PgGX0-kHA/edit?usp=sharing"",""แผน!AN84"")"),0)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12000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6800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IFERROR(__xludf.DUMMYFUNCTION("IMPORTRANGE(""https://docs.google.com/spreadsheets/d/1QqKyyYR6Q21VydFLVH3TRQUabQu_ym0Zz7PgGX0-kHA/edit?usp=sharing"",""แผน!AP84"")"),3000)</f>
        <v>3000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IFERROR(__xludf.DUMMYFUNCTION("IMPORTRANGE(""https://docs.google.com/spreadsheets/d/1QqKyyYR6Q21VydFLVH3TRQUabQu_ym0Zz7PgGX0-kHA/edit?usp=sharing"",""แผน!AQ84"")"),3800)</f>
        <v>3800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IFERROR(__xludf.DUMMYFUNCTION("IMPORTRANGE(""https://docs.google.com/spreadsheets/d/1QqKyyYR6Q21VydFLVH3TRQUabQu_ym0Zz7PgGX0-kHA/edit?usp=sharing"",""แผน!AR84"")"),0)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IFERROR(__xludf.DUMMYFUNCTION("IMPORTRANGE(""https://docs.google.com/spreadsheets/d/1QqKyyYR6Q21VydFLVH3TRQUabQu_ym0Zz7PgGX0-kHA/edit?usp=sharing"",""แผน!AT84"")"),12000)</f>
        <v>12000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IFERROR(__xludf.DUMMYFUNCTION("IMPORTRANGE(""https://docs.google.com/spreadsheets/d/1QqKyyYR6Q21VydFLVH3TRQUabQu_ym0Zz7PgGX0-kHA/edit?usp=sharing"",""แผน!AT84"")"),12000)</f>
        <v>12000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IFERROR(__xludf.DUMMYFUNCTION("IMPORTRANGE(""https://docs.google.com/spreadsheets/d/1QqKyyYR6Q21VydFLVH3TRQUabQu_ym0Zz7PgGX0-kHA/edit?usp=sharing"",""แผน!AS84"")"),0)</f>
        <v>0</v>
      </c>
      <c r="J225" s="1012">
        <v>0</v>
      </c>
      <c r="K225" s="998">
        <f t="shared" ca="1" si="104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IFERROR(__xludf.DUMMYFUNCTION("IMPORTRANGE(""https://docs.google.com/spreadsheets/d/1QqKyyYR6Q21VydFLVH3TRQUabQu_ym0Zz7PgGX0-kHA/edit?usp=sharing"",""แผน!AV84"")"),0)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IFERROR(__xludf.DUMMYFUNCTION("IMPORTRANGE(""https://docs.google.com/spreadsheets/d/1QqKyyYR6Q21VydFLVH3TRQUabQu_ym0Zz7PgGX0-kHA/edit?usp=sharing"",""แผน!AW84"")"),0)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IFERROR(__xludf.DUMMYFUNCTION("IMPORTRANGE(""https://docs.google.com/spreadsheets/d/1QqKyyYR6Q21VydFLVH3TRQUabQu_ym0Zz7PgGX0-kHA/edit?usp=sharing"",""แผน!AX84"")"),0)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IFERROR(__xludf.DUMMYFUNCTION("IMPORTRANGE(""https://docs.google.com/spreadsheets/d/1QqKyyYR6Q21VydFLVH3TRQUabQu_ym0Zz7PgGX0-kHA/edit?usp=sharing"",""แผน!AY84"")"),0)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IFERROR(__xludf.DUMMYFUNCTION("IMPORTRANGE(""https://docs.google.com/spreadsheets/d/1QqKyyYR6Q21VydFLVH3TRQUabQu_ym0Zz7PgGX0-kHA/edit?usp=sharing"",""แผน!BE84"")"),0)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IFERROR(__xludf.DUMMYFUNCTION("IMPORTRANGE(""https://docs.google.com/spreadsheets/d/1QqKyyYR6Q21VydFLVH3TRQUabQu_ym0Zz7PgGX0-kHA/edit?usp=sharing"",""แผน!AZ84"")"),0)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IFERROR(__xludf.DUMMYFUNCTION("IMPORTRANGE(""https://docs.google.com/spreadsheets/d/1QqKyyYR6Q21VydFLVH3TRQUabQu_ym0Zz7PgGX0-kHA/edit?usp=sharing"",""แผน!BA84"")"),0)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IFERROR(__xludf.DUMMYFUNCTION("IMPORTRANGE(""https://docs.google.com/spreadsheets/d/1QqKyyYR6Q21VydFLVH3TRQUabQu_ym0Zz7PgGX0-kHA/edit?usp=sharing"",""แผน!BB84"")"),0)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IFERROR(__xludf.DUMMYFUNCTION("IMPORTRANGE(""https://docs.google.com/spreadsheets/d/1QqKyyYR6Q21VydFLVH3TRQUabQu_ym0Zz7PgGX0-kHA/edit?usp=sharing"",""แผน!BC84"")"),0)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IFERROR(__xludf.DUMMYFUNCTION("IMPORTRANGE(""https://docs.google.com/spreadsheets/d/1QqKyyYR6Q21VydFLVH3TRQUabQu_ym0Zz7PgGX0-kHA/edit?usp=sharing"",""แผน!BF84"")"),"")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16</v>
      </c>
      <c r="J260" s="1075">
        <f t="shared" si="115"/>
        <v>16</v>
      </c>
      <c r="K260" s="1076">
        <f ca="1">IF(I260&gt;0,J260*100/I260,0)</f>
        <v>100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164200</v>
      </c>
      <c r="M261" s="992">
        <f t="shared" ca="1" si="116"/>
        <v>122200</v>
      </c>
      <c r="N261" s="992">
        <f t="shared" ca="1" si="116"/>
        <v>79347.3</v>
      </c>
      <c r="O261" s="992">
        <f t="shared" ref="O261:O269" ca="1" si="117">IF(L261&gt;0,N261*100/L261,0)</f>
        <v>48.323568818514005</v>
      </c>
      <c r="P261" s="992">
        <f t="shared" ref="P261:P269" ca="1" si="118">IF(M261&gt;0,N261*100/M261,0)</f>
        <v>64.932324058919804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164200</v>
      </c>
      <c r="M263" s="887">
        <f t="shared" ca="1" si="119"/>
        <v>122200</v>
      </c>
      <c r="N263" s="887">
        <f t="shared" ca="1" si="119"/>
        <v>79347.3</v>
      </c>
      <c r="O263" s="887">
        <f t="shared" ca="1" si="117"/>
        <v>48.323568818514005</v>
      </c>
      <c r="P263" s="887">
        <f t="shared" ca="1" si="118"/>
        <v>64.932324058919804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164200</v>
      </c>
      <c r="M264" s="881">
        <f t="shared" ca="1" si="120"/>
        <v>122200</v>
      </c>
      <c r="N264" s="881">
        <f t="shared" ca="1" si="120"/>
        <v>79347.3</v>
      </c>
      <c r="O264" s="881">
        <f t="shared" ca="1" si="117"/>
        <v>48.323568818514005</v>
      </c>
      <c r="P264" s="881">
        <f t="shared" ca="1" si="118"/>
        <v>64.932324058919804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IFERROR(__xludf.DUMMYFUNCTION("IMPORTRANGE(""https://docs.google.com/spreadsheets/d/1MeEWN-I1oV_STSDYn1IFDPWt_1FKiwhDph83XaGc0o0/edit?usp=sharing"",""งบพรบ!CY84"")"),164200)</f>
        <v>164200</v>
      </c>
      <c r="M266" s="887">
        <f ca="1">IFERROR(__xludf.DUMMYFUNCTION("IMPORTRANGE(""https://docs.google.com/spreadsheets/d/1MeEWN-I1oV_STSDYn1IFDPWt_1FKiwhDph83XaGc0o0/edit?usp=sharing"",""งบพรบ!DD84"")"),122200)</f>
        <v>122200</v>
      </c>
      <c r="N266" s="887">
        <f ca="1">IFERROR(__xludf.DUMMYFUNCTION("IMPORTRANGE(""https://docs.google.com/spreadsheets/d/1MeEWN-I1oV_STSDYn1IFDPWt_1FKiwhDph83XaGc0o0/edit?usp=sharing"",""งบพรบ!DF84"")"),79347.3)</f>
        <v>79347.3</v>
      </c>
      <c r="O266" s="887">
        <f t="shared" ca="1" si="117"/>
        <v>48.323568818514005</v>
      </c>
      <c r="P266" s="887">
        <f t="shared" ca="1" si="118"/>
        <v>64.932324058919804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IFERROR(__xludf.DUMMYFUNCTION("IMPORTRANGE(""https://docs.google.com/spreadsheets/d/1MeEWN-I1oV_STSDYn1IFDPWt_1FKiwhDph83XaGc0o0/edit?usp=sharing"",""งบพรบ!DB84"")"),0)</f>
        <v>0</v>
      </c>
      <c r="M269" s="887">
        <f ca="1">IFERROR(__xludf.DUMMYFUNCTION("IMPORTRANGE(""https://docs.google.com/spreadsheets/d/1MeEWN-I1oV_STSDYn1IFDPWt_1FKiwhDph83XaGc0o0/edit?usp=sharing"",""งบพรบ!DE84"")"),0)</f>
        <v>0</v>
      </c>
      <c r="N269" s="887">
        <f ca="1">IFERROR(__xludf.DUMMYFUNCTION("IMPORTRANGE(""https://docs.google.com/spreadsheets/d/1MeEWN-I1oV_STSDYn1IFDPWt_1FKiwhDph83XaGc0o0/edit?usp=sharing"",""งบพรบ!DG84"")"),0)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IFERROR(__xludf.DUMMYFUNCTION("IMPORTRANGE(""https://docs.google.com/spreadsheets/d/1QqKyyYR6Q21VydFLVH3TRQUabQu_ym0Zz7PgGX0-kHA/edit?usp=sharing"",""แผน!EA84"")"),16)</f>
        <v>16</v>
      </c>
      <c r="J271" s="1012">
        <v>16</v>
      </c>
      <c r="K271" s="998">
        <f ca="1">IF(I271&gt;0,J271*100/I271,0)</f>
        <v>100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IFERROR(__xludf.DUMMYFUNCTION("IMPORTRANGE(""https://docs.google.com/spreadsheets/d/1MeEWN-I1oV_STSDYn1IFDPWt_1FKiwhDph83XaGc0o0/edit?usp=sharing"",""งบพรบ!DI84"")"),0)</f>
        <v>0</v>
      </c>
      <c r="M282" s="887">
        <f ca="1">IFERROR(__xludf.DUMMYFUNCTION("IMPORTRANGE(""https://docs.google.com/spreadsheets/d/1MeEWN-I1oV_STSDYn1IFDPWt_1FKiwhDph83XaGc0o0/edit?usp=sharing"",""งบพรบ!DN84"")"),0)</f>
        <v>0</v>
      </c>
      <c r="N282" s="887">
        <f ca="1">IFERROR(__xludf.DUMMYFUNCTION("IMPORTRANGE(""https://docs.google.com/spreadsheets/d/1MeEWN-I1oV_STSDYn1IFDPWt_1FKiwhDph83XaGc0o0/edit?usp=sharing"",""งบพรบ!DP84"")"),0)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IFERROR(__xludf.DUMMYFUNCTION("IMPORTRANGE(""https://docs.google.com/spreadsheets/d/1MeEWN-I1oV_STSDYn1IFDPWt_1FKiwhDph83XaGc0o0/edit?usp=sharing"",""งบพรบ!DL84"")"),0)</f>
        <v>0</v>
      </c>
      <c r="M285" s="887">
        <f ca="1">IFERROR(__xludf.DUMMYFUNCTION("IMPORTRANGE(""https://docs.google.com/spreadsheets/d/1MeEWN-I1oV_STSDYn1IFDPWt_1FKiwhDph83XaGc0o0/edit?usp=sharing"",""งบพรบ!DO84"")"),0)</f>
        <v>0</v>
      </c>
      <c r="N285" s="887">
        <f ca="1">IFERROR(__xludf.DUMMYFUNCTION("IMPORTRANGE(""https://docs.google.com/spreadsheets/d/1MeEWN-I1oV_STSDYn1IFDPWt_1FKiwhDph83XaGc0o0/edit?usp=sharing"",""งบพรบ!DQ84"")"),0)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IFERROR(__xludf.DUMMYFUNCTION("IMPORTRANGE(""https://docs.google.com/spreadsheets/d/1QqKyyYR6Q21VydFLVH3TRQUabQu_ym0Zz7PgGX0-kHA/edit?usp=sharing"",""แผน!EC84"")"),0)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IFERROR(__xludf.DUMMYFUNCTION("IMPORTRANGE(""https://docs.google.com/spreadsheets/d/1QqKyyYR6Q21VydFLVH3TRQUabQu_ym0Zz7PgGX0-kHA/edit?usp=sharing"",""แผน!EB84"")"),0)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IFERROR(__xludf.DUMMYFUNCTION("IMPORTRANGE(""https://docs.google.com/spreadsheets/d/1QqKyyYR6Q21VydFLVH3TRQUabQu_ym0Zz7PgGX0-kHA/edit?usp=sharing"",""แผน!EB84"")"),0)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IFERROR(__xludf.DUMMYFUNCTION("IMPORTRANGE(""https://docs.google.com/spreadsheets/d/1QqKyyYR6Q21VydFLVH3TRQUabQu_ym0Zz7PgGX0-kHA/edit?usp=sharing"",""แผน!EB84"")"),0)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IFERROR(__xludf.DUMMYFUNCTION("IMPORTRANGE(""https://docs.google.com/spreadsheets/d/1QqKyyYR6Q21VydFLVH3TRQUabQu_ym0Zz7PgGX0-kHA/edit?usp=sharing"",""แผน!EB84"")"),0)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IFERROR(__xludf.DUMMYFUNCTION("IMPORTRANGE(""https://docs.google.com/spreadsheets/d/1QqKyyYR6Q21VydFLVH3TRQUabQu_ym0Zz7PgGX0-kHA/edit?usp=sharing"",""แผน!EB84"")"),0)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0</v>
      </c>
      <c r="J297" s="1190">
        <f t="shared" si="134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0</v>
      </c>
      <c r="M298" s="992">
        <f t="shared" ca="1" si="135"/>
        <v>0</v>
      </c>
      <c r="N298" s="992">
        <f t="shared" ca="1" si="135"/>
        <v>0</v>
      </c>
      <c r="O298" s="992">
        <f t="shared" ref="O298:O306" ca="1" si="136">IF(L298&gt;0,N298*100/L298,0)</f>
        <v>0</v>
      </c>
      <c r="P298" s="992">
        <f t="shared" ref="P298:P306" ca="1" si="137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0</v>
      </c>
      <c r="M300" s="887">
        <f t="shared" ca="1" si="138"/>
        <v>0</v>
      </c>
      <c r="N300" s="887">
        <f t="shared" ca="1" si="138"/>
        <v>0</v>
      </c>
      <c r="O300" s="887">
        <f t="shared" ca="1" si="136"/>
        <v>0</v>
      </c>
      <c r="P300" s="887">
        <f t="shared" ca="1" si="137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0</v>
      </c>
      <c r="M301" s="881">
        <f t="shared" ca="1" si="139"/>
        <v>0</v>
      </c>
      <c r="N301" s="881">
        <f t="shared" ca="1" si="139"/>
        <v>0</v>
      </c>
      <c r="O301" s="881">
        <f t="shared" ca="1" si="136"/>
        <v>0</v>
      </c>
      <c r="P301" s="881">
        <f t="shared" ca="1" si="137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IFERROR(__xludf.DUMMYFUNCTION("IMPORTRANGE(""https://docs.google.com/spreadsheets/d/1MeEWN-I1oV_STSDYn1IFDPWt_1FKiwhDph83XaGc0o0/edit?usp=sharing"",""งบพรบ!DS84"")"),0)</f>
        <v>0</v>
      </c>
      <c r="M303" s="887">
        <f ca="1">IFERROR(__xludf.DUMMYFUNCTION("IMPORTRANGE(""https://docs.google.com/spreadsheets/d/1MeEWN-I1oV_STSDYn1IFDPWt_1FKiwhDph83XaGc0o0/edit?usp=sharing"",""งบพรบ!DX84"")"),0)</f>
        <v>0</v>
      </c>
      <c r="N303" s="887">
        <f ca="1">IFERROR(__xludf.DUMMYFUNCTION("IMPORTRANGE(""https://docs.google.com/spreadsheets/d/1MeEWN-I1oV_STSDYn1IFDPWt_1FKiwhDph83XaGc0o0/edit?usp=sharing"",""งบพรบ!DZ84"")"),0)</f>
        <v>0</v>
      </c>
      <c r="O303" s="887">
        <f t="shared" ca="1" si="136"/>
        <v>0</v>
      </c>
      <c r="P303" s="887">
        <f t="shared" ca="1" si="137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IFERROR(__xludf.DUMMYFUNCTION("IMPORTRANGE(""https://docs.google.com/spreadsheets/d/1MeEWN-I1oV_STSDYn1IFDPWt_1FKiwhDph83XaGc0o0/edit?usp=sharing"",""งบพรบ!DV84"")"),0)</f>
        <v>0</v>
      </c>
      <c r="M306" s="887">
        <f ca="1">IFERROR(__xludf.DUMMYFUNCTION("IMPORTRANGE(""https://docs.google.com/spreadsheets/d/1MeEWN-I1oV_STSDYn1IFDPWt_1FKiwhDph83XaGc0o0/edit?usp=sharing"",""งบพรบ!DY84"")"),0)</f>
        <v>0</v>
      </c>
      <c r="N306" s="887">
        <f ca="1">IFERROR(__xludf.DUMMYFUNCTION("IMPORTRANGE(""https://docs.google.com/spreadsheets/d/1MeEWN-I1oV_STSDYn1IFDPWt_1FKiwhDph83XaGc0o0/edit?usp=sharing"",""งบพรบ!EA84"")"),0)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IFERROR(__xludf.DUMMYFUNCTION("IMPORTRANGE(""https://docs.google.com/spreadsheets/d/1QqKyyYR6Q21VydFLVH3TRQUabQu_ym0Zz7PgGX0-kHA/edit?usp=sharing"",""แผน!ED84"")"),0)</f>
        <v>0</v>
      </c>
      <c r="J309" s="1012">
        <v>0</v>
      </c>
      <c r="K309" s="881">
        <f t="shared" ref="K309:K312" ca="1" si="141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IFERROR(__xludf.DUMMYFUNCTION("IMPORTRANGE(""https://docs.google.com/spreadsheets/d/1QqKyyYR6Q21VydFLVH3TRQUabQu_ym0Zz7PgGX0-kHA/edit?usp=sharing"",""แผน!ED84"")"),0)</f>
        <v>0</v>
      </c>
      <c r="J310" s="1012">
        <v>0</v>
      </c>
      <c r="K310" s="881">
        <f t="shared" ca="1" si="141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IFERROR(__xludf.DUMMYFUNCTION("IMPORTRANGE(""https://docs.google.com/spreadsheets/d/1QqKyyYR6Q21VydFLVH3TRQUabQu_ym0Zz7PgGX0-kHA/edit?usp=sharing"",""แผน!ED84"")"),0)</f>
        <v>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IFERROR(__xludf.DUMMYFUNCTION("IMPORTRANGE(""https://docs.google.com/spreadsheets/d/1QqKyyYR6Q21VydFLVH3TRQUabQu_ym0Zz7PgGX0-kHA/edit?usp=sharing"",""แผน!EE84"")"),0)</f>
        <v>0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0</v>
      </c>
      <c r="J314" s="1190">
        <f t="shared" si="142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0</v>
      </c>
      <c r="M315" s="992">
        <f t="shared" ca="1" si="143"/>
        <v>0</v>
      </c>
      <c r="N315" s="992">
        <f t="shared" ca="1" si="143"/>
        <v>0</v>
      </c>
      <c r="O315" s="992">
        <f t="shared" ref="O315:O323" ca="1" si="144">IF(L315&gt;0,N315*100/L315,0)</f>
        <v>0</v>
      </c>
      <c r="P315" s="992">
        <f t="shared" ref="P315:P323" ca="1" si="145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0</v>
      </c>
      <c r="M317" s="887">
        <f t="shared" ca="1" si="146"/>
        <v>0</v>
      </c>
      <c r="N317" s="887">
        <f t="shared" ca="1" si="146"/>
        <v>0</v>
      </c>
      <c r="O317" s="887">
        <f t="shared" ca="1" si="144"/>
        <v>0</v>
      </c>
      <c r="P317" s="887">
        <f t="shared" ca="1" si="145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0</v>
      </c>
      <c r="M318" s="881">
        <f t="shared" ca="1" si="147"/>
        <v>0</v>
      </c>
      <c r="N318" s="881">
        <f t="shared" ca="1" si="147"/>
        <v>0</v>
      </c>
      <c r="O318" s="881">
        <f t="shared" ca="1" si="144"/>
        <v>0</v>
      </c>
      <c r="P318" s="881">
        <f t="shared" ca="1" si="145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IFERROR(__xludf.DUMMYFUNCTION("IMPORTRANGE(""https://docs.google.com/spreadsheets/d/1MeEWN-I1oV_STSDYn1IFDPWt_1FKiwhDph83XaGc0o0/edit?usp=sharing"",""งบพรบ!EC84"")"),0)</f>
        <v>0</v>
      </c>
      <c r="M320" s="887">
        <f ca="1">IFERROR(__xludf.DUMMYFUNCTION("IMPORTRANGE(""https://docs.google.com/spreadsheets/d/1MeEWN-I1oV_STSDYn1IFDPWt_1FKiwhDph83XaGc0o0/edit?usp=sharing"",""งบพรบ!EH84"")"),0)</f>
        <v>0</v>
      </c>
      <c r="N320" s="887">
        <f ca="1">IFERROR(__xludf.DUMMYFUNCTION("IMPORTRANGE(""https://docs.google.com/spreadsheets/d/1MeEWN-I1oV_STSDYn1IFDPWt_1FKiwhDph83XaGc0o0/edit?usp=sharing"",""งบพรบ!EJ84"")"),0)</f>
        <v>0</v>
      </c>
      <c r="O320" s="887">
        <f t="shared" ca="1" si="144"/>
        <v>0</v>
      </c>
      <c r="P320" s="887">
        <f t="shared" ca="1" si="145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IFERROR(__xludf.DUMMYFUNCTION("IMPORTRANGE(""https://docs.google.com/spreadsheets/d/1MeEWN-I1oV_STSDYn1IFDPWt_1FKiwhDph83XaGc0o0/edit?usp=sharing"",""งบพรบ!EF84"")"),0)</f>
        <v>0</v>
      </c>
      <c r="M323" s="887">
        <f ca="1">IFERROR(__xludf.DUMMYFUNCTION("IMPORTRANGE(""https://docs.google.com/spreadsheets/d/1MeEWN-I1oV_STSDYn1IFDPWt_1FKiwhDph83XaGc0o0/edit?usp=sharing"",""งบพรบ!EI84"")"),0)</f>
        <v>0</v>
      </c>
      <c r="N323" s="887">
        <f ca="1">IFERROR(__xludf.DUMMYFUNCTION("IMPORTRANGE(""https://docs.google.com/spreadsheets/d/1MeEWN-I1oV_STSDYn1IFDPWt_1FKiwhDph83XaGc0o0/edit?usp=sharing"",""งบพรบ!EK84"")"),0)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IFERROR(__xludf.DUMMYFUNCTION("IMPORTRANGE(""https://docs.google.com/spreadsheets/d/1QqKyyYR6Q21VydFLVH3TRQUabQu_ym0Zz7PgGX0-kHA/edit?usp=sharing"",""แผน!EF84"")"),0)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IFERROR(__xludf.DUMMYFUNCTION("IMPORTRANGE(""https://docs.google.com/spreadsheets/d/1QqKyyYR6Q21VydFLVH3TRQUabQu_ym0Zz7PgGX0-kHA/edit?usp=sharing"",""แผน!EG84"")"),200)</f>
        <v>200</v>
      </c>
      <c r="J327" s="1190">
        <f ca="1">J338+J341+J342+J343</f>
        <v>120</v>
      </c>
      <c r="K327" s="1191">
        <f ca="1">IF(I327&gt;0,J327*100/I327,0)</f>
        <v>60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157000</v>
      </c>
      <c r="M328" s="992">
        <f t="shared" ca="1" si="149"/>
        <v>120250</v>
      </c>
      <c r="N328" s="992">
        <f t="shared" ca="1" si="149"/>
        <v>66695</v>
      </c>
      <c r="O328" s="992">
        <f t="shared" ref="O328:O336" ca="1" si="150">IF(L328&gt;0,N328*100/L328,0)</f>
        <v>42.480891719745223</v>
      </c>
      <c r="P328" s="992">
        <f t="shared" ref="P328:P336" ca="1" si="151">IF(M328&gt;0,N328*100/M328,0)</f>
        <v>55.46361746361746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157000</v>
      </c>
      <c r="M330" s="887">
        <f t="shared" ca="1" si="152"/>
        <v>120250</v>
      </c>
      <c r="N330" s="887">
        <f t="shared" ca="1" si="152"/>
        <v>66695</v>
      </c>
      <c r="O330" s="887">
        <f t="shared" ca="1" si="150"/>
        <v>42.480891719745223</v>
      </c>
      <c r="P330" s="887">
        <f t="shared" ca="1" si="151"/>
        <v>55.46361746361746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157000</v>
      </c>
      <c r="M331" s="881">
        <f t="shared" ca="1" si="153"/>
        <v>120250</v>
      </c>
      <c r="N331" s="881">
        <f t="shared" ca="1" si="153"/>
        <v>66695</v>
      </c>
      <c r="O331" s="881">
        <f t="shared" ca="1" si="150"/>
        <v>42.480891719745223</v>
      </c>
      <c r="P331" s="881">
        <f t="shared" ca="1" si="151"/>
        <v>55.46361746361746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IFERROR(__xludf.DUMMYFUNCTION("IMPORTRANGE(""https://docs.google.com/spreadsheets/d/1MeEWN-I1oV_STSDYn1IFDPWt_1FKiwhDph83XaGc0o0/edit?usp=sharing"",""งบพรบ!EM84"")"),157000)</f>
        <v>157000</v>
      </c>
      <c r="M333" s="887">
        <f ca="1">IFERROR(__xludf.DUMMYFUNCTION("IMPORTRANGE(""https://docs.google.com/spreadsheets/d/1MeEWN-I1oV_STSDYn1IFDPWt_1FKiwhDph83XaGc0o0/edit?usp=sharing"",""งบพรบ!ER84"")"),120250)</f>
        <v>120250</v>
      </c>
      <c r="N333" s="887">
        <f ca="1">IFERROR(__xludf.DUMMYFUNCTION("IMPORTRANGE(""https://docs.google.com/spreadsheets/d/1MeEWN-I1oV_STSDYn1IFDPWt_1FKiwhDph83XaGc0o0/edit?usp=sharing"",""งบพรบ!ET84"")"),66695)</f>
        <v>66695</v>
      </c>
      <c r="O333" s="887">
        <f t="shared" ca="1" si="150"/>
        <v>42.480891719745223</v>
      </c>
      <c r="P333" s="887">
        <f t="shared" ca="1" si="151"/>
        <v>55.46361746361746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IFERROR(__xludf.DUMMYFUNCTION("IMPORTRANGE(""https://docs.google.com/spreadsheets/d/1MeEWN-I1oV_STSDYn1IFDPWt_1FKiwhDph83XaGc0o0/edit?usp=sharing"",""งบพรบ!EP84"")"),0)</f>
        <v>0</v>
      </c>
      <c r="M336" s="887">
        <f ca="1">IFERROR(__xludf.DUMMYFUNCTION("IMPORTRANGE(""https://docs.google.com/spreadsheets/d/1MeEWN-I1oV_STSDYn1IFDPWt_1FKiwhDph83XaGc0o0/edit?usp=sharing"",""งบพรบ!ES84"")"),0)</f>
        <v>0</v>
      </c>
      <c r="N336" s="887">
        <f ca="1">IFERROR(__xludf.DUMMYFUNCTION("IMPORTRANGE(""https://docs.google.com/spreadsheets/d/1MeEWN-I1oV_STSDYn1IFDPWt_1FKiwhDph83XaGc0o0/edit?usp=sharing"",""งบพรบ!EU84"")"),0)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IFERROR(__xludf.DUMMYFUNCTION("IMPORTRANGE(""https://docs.google.com/spreadsheets/d/1QqKyyYR6Q21VydFLVH3TRQUabQu_ym0Zz7PgGX0-kHA/edit?usp=sharing"",""แผน!EG84"")"),200)</f>
        <v>200</v>
      </c>
      <c r="J338" s="880">
        <f ca="1">IFERROR(__xludf.DUMMYFUNCTION("IMPORTRANGE(""https://docs.google.com/spreadsheets/d/1kVcqe37tkHyjCSG3S0O1AXqVkqjo8mSIZil3BcpIysc/edit?usp=sharing"",""ศูนย์!D84"")"),110)</f>
        <v>110</v>
      </c>
      <c r="K338" s="881">
        <f ca="1">IF(I338&gt;0,J338*100/I338,0)</f>
        <v>55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IFERROR(__xludf.DUMMYFUNCTION("IMPORTRANGE(""https://docs.google.com/spreadsheets/d/1QqKyyYR6Q21VydFLVH3TRQUabQu_ym0Zz7PgGX0-kHA/edit?usp=sharing"",""แผน!EH84"")"),2)</f>
        <v>2</v>
      </c>
      <c r="J340" s="880">
        <f ca="1">IFERROR(__xludf.DUMMYFUNCTION("IMPORTRANGE(""https://docs.google.com/spreadsheets/d/1kVcqe37tkHyjCSG3S0O1AXqVkqjo8mSIZil3BcpIysc/edit?usp=sharing"",""ศูนย์!E84"")"),1)</f>
        <v>1</v>
      </c>
      <c r="K340" s="881">
        <f ca="1">IF(I340&gt;0,J340*100/I340,0)</f>
        <v>50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IFERROR(__xludf.DUMMYFUNCTION("IMPORTRANGE(""https://docs.google.com/spreadsheets/d/1kVcqe37tkHyjCSG3S0O1AXqVkqjo8mSIZil3BcpIysc/edit?usp=sharing"",""ศูนย์!F84"")"),10)</f>
        <v>10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IFERROR(__xludf.DUMMYFUNCTION("IMPORTRANGE(""https://docs.google.com/spreadsheets/d/1kVcqe37tkHyjCSG3S0O1AXqVkqjo8mSIZil3BcpIysc/edit?usp=sharing"",""ศูนย์!G84"")"),0)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IFERROR(__xludf.DUMMYFUNCTION("IMPORTRANGE(""https://docs.google.com/spreadsheets/d/1kVcqe37tkHyjCSG3S0O1AXqVkqjo8mSIZil3BcpIysc/edit?usp=sharing"",""ศูนย์!H84"")"),0)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672850</v>
      </c>
      <c r="M345" s="992">
        <f t="shared" ca="1" si="155"/>
        <v>536070</v>
      </c>
      <c r="N345" s="992">
        <f t="shared" ca="1" si="155"/>
        <v>375191.86</v>
      </c>
      <c r="O345" s="992">
        <f t="shared" ref="O345:O353" ca="1" si="156">IF(L345&gt;0,N345*100/L345,0)</f>
        <v>55.76159025042729</v>
      </c>
      <c r="P345" s="992">
        <f t="shared" ref="P345:P353" ca="1" si="157">IF(M345&gt;0,N345*100/M345,0)</f>
        <v>69.989340944279661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672850</v>
      </c>
      <c r="M347" s="887">
        <f t="shared" ca="1" si="158"/>
        <v>536070</v>
      </c>
      <c r="N347" s="887">
        <f t="shared" ca="1" si="158"/>
        <v>375191.86</v>
      </c>
      <c r="O347" s="887">
        <f t="shared" ca="1" si="156"/>
        <v>55.76159025042729</v>
      </c>
      <c r="P347" s="887">
        <f t="shared" ca="1" si="157"/>
        <v>69.989340944279661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559050</v>
      </c>
      <c r="M348" s="881">
        <f t="shared" ca="1" si="159"/>
        <v>422270</v>
      </c>
      <c r="N348" s="881">
        <f t="shared" ca="1" si="159"/>
        <v>261391.86</v>
      </c>
      <c r="O348" s="881">
        <f t="shared" ca="1" si="156"/>
        <v>46.756436812449692</v>
      </c>
      <c r="P348" s="881">
        <f t="shared" ca="1" si="157"/>
        <v>61.901593767021097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IFERROR(__xludf.DUMMYFUNCTION("IMPORTRANGE(""https://docs.google.com/spreadsheets/d/1MeEWN-I1oV_STSDYn1IFDPWt_1FKiwhDph83XaGc0o0/edit?usp=sharing"",""งบพรบ!EW84"")"),559050)</f>
        <v>559050</v>
      </c>
      <c r="M350" s="887">
        <f ca="1">IFERROR(__xludf.DUMMYFUNCTION("IMPORTRANGE(""https://docs.google.com/spreadsheets/d/1MeEWN-I1oV_STSDYn1IFDPWt_1FKiwhDph83XaGc0o0/edit?usp=sharing"",""งบพรบ!FB84"")"),422270)</f>
        <v>422270</v>
      </c>
      <c r="N350" s="887">
        <f ca="1">IFERROR(__xludf.DUMMYFUNCTION("IMPORTRANGE(""https://docs.google.com/spreadsheets/d/1MeEWN-I1oV_STSDYn1IFDPWt_1FKiwhDph83XaGc0o0/edit?usp=sharing"",""งบพรบ!FD84"")"),261391.86)</f>
        <v>261391.86</v>
      </c>
      <c r="O350" s="887">
        <f t="shared" ca="1" si="156"/>
        <v>46.756436812449692</v>
      </c>
      <c r="P350" s="887">
        <f t="shared" ca="1" si="157"/>
        <v>61.901593767021097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113800</v>
      </c>
      <c r="M351" s="881">
        <f t="shared" ca="1" si="160"/>
        <v>113800</v>
      </c>
      <c r="N351" s="881">
        <f t="shared" ca="1" si="160"/>
        <v>113800</v>
      </c>
      <c r="O351" s="881">
        <f t="shared" ca="1" si="156"/>
        <v>100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IFERROR(__xludf.DUMMYFUNCTION("IMPORTRANGE(""https://docs.google.com/spreadsheets/d/1MeEWN-I1oV_STSDYn1IFDPWt_1FKiwhDph83XaGc0o0/edit?usp=sharing"",""งบพรบ!EZ84"")"),113800)</f>
        <v>113800</v>
      </c>
      <c r="M353" s="887">
        <f ca="1">IFERROR(__xludf.DUMMYFUNCTION("IMPORTRANGE(""https://docs.google.com/spreadsheets/d/1MeEWN-I1oV_STSDYn1IFDPWt_1FKiwhDph83XaGc0o0/edit?usp=sharing"",""งบพรบ!FC84"")"),113800)</f>
        <v>113800</v>
      </c>
      <c r="N353" s="887">
        <f ca="1">IFERROR(__xludf.DUMMYFUNCTION("IMPORTRANGE(""https://docs.google.com/spreadsheets/d/1MeEWN-I1oV_STSDYn1IFDPWt_1FKiwhDph83XaGc0o0/edit?usp=sharing"",""งบพรบ!FE84"")"),113800)</f>
        <v>113800</v>
      </c>
      <c r="O353" s="887">
        <f t="shared" ca="1" si="156"/>
        <v>100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IFERROR(__xludf.DUMMYFUNCTION("IMPORTRANGE(""https://docs.google.com/spreadsheets/d/1QqKyyYR6Q21VydFLVH3TRQUabQu_ym0Zz7PgGX0-kHA/edit?usp=sharing"",""แผน!EP84"")"),54)</f>
        <v>54</v>
      </c>
      <c r="J355" s="1206">
        <f ca="1">J362</f>
        <v>14</v>
      </c>
      <c r="K355" s="1207">
        <f ca="1">IF(I355&gt;0,J355*100/I355,0)</f>
        <v>25.925925925925927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IFERROR(__xludf.DUMMYFUNCTION("IMPORTRANGE(""https://docs.google.com/spreadsheets/d/1XWAQStnk-4SwqDmLtmXYiTMKHgktTP8We1SCoS47DrQ/edit?usp=sharing"",""จัดที่ดิน!W84"")"),47)</f>
        <v>47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IFERROR(__xludf.DUMMYFUNCTION("IMPORTRANGE(""https://docs.google.com/spreadsheets/d/1QqKyyYR6Q21VydFLVH3TRQUabQu_ym0Zz7PgGX0-kHA/edit?usp=sharing"",""แผน!EO84"")"),440)</f>
        <v>440</v>
      </c>
      <c r="J359" s="880">
        <f ca="1">IFERROR(__xludf.DUMMYFUNCTION("IMPORTRANGE(""https://docs.google.com/spreadsheets/d/1XWAQStnk-4SwqDmLtmXYiTMKHgktTP8We1SCoS47DrQ/edit?usp=sharing"",""จัดที่ดิน!X84"")"),319.93)</f>
        <v>319.93</v>
      </c>
      <c r="K359" s="881">
        <f t="shared" ca="1" si="161"/>
        <v>72.711363636363643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IFERROR(__xludf.DUMMYFUNCTION("IMPORTRANGE(""https://docs.google.com/spreadsheets/d/1QqKyyYR6Q21VydFLVH3TRQUabQu_ym0Zz7PgGX0-kHA/edit?usp=sharing"",""แผน!EP84"")"),54)</f>
        <v>54</v>
      </c>
      <c r="J360" s="880">
        <f ca="1">IFERROR(__xludf.DUMMYFUNCTION("IMPORTRANGE(""https://docs.google.com/spreadsheets/d/1XWAQStnk-4SwqDmLtmXYiTMKHgktTP8We1SCoS47DrQ/edit?usp=sharing"",""จัดที่ดิน!Y84"")"),46)</f>
        <v>46</v>
      </c>
      <c r="K360" s="881">
        <f t="shared" ca="1" si="161"/>
        <v>85.18518518518519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IFERROR(__xludf.DUMMYFUNCTION("IMPORTRANGE(""https://docs.google.com/spreadsheets/d/1XWAQStnk-4SwqDmLtmXYiTMKHgktTP8We1SCoS47DrQ/edit?usp=sharing"",""จัดที่ดิน!Z84"")"),262.47)</f>
        <v>262.47000000000003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IFERROR(__xludf.DUMMYFUNCTION("IMPORTRANGE(""https://docs.google.com/spreadsheets/d/1QqKyyYR6Q21VydFLVH3TRQUabQu_ym0Zz7PgGX0-kHA/edit?usp=sharing"",""แผน!EP84"")"),54)</f>
        <v>54</v>
      </c>
      <c r="J362" s="880">
        <f ca="1">IFERROR(__xludf.DUMMYFUNCTION("IMPORTRANGE(""https://docs.google.com/spreadsheets/d/1XWAQStnk-4SwqDmLtmXYiTMKHgktTP8We1SCoS47DrQ/edit?usp=sharing"",""จัดที่ดิน!AA84"")"),14)</f>
        <v>14</v>
      </c>
      <c r="K362" s="881">
        <f t="shared" ca="1" si="161"/>
        <v>25.925925925925927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IFERROR(__xludf.DUMMYFUNCTION("IMPORTRANGE(""https://docs.google.com/spreadsheets/d/1XWAQStnk-4SwqDmLtmXYiTMKHgktTP8We1SCoS47DrQ/edit?usp=sharing"",""จัดที่ดิน!AB84"")"),113.28)</f>
        <v>113.28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74</v>
      </c>
      <c r="J364" s="1219">
        <f t="shared" ca="1" si="162"/>
        <v>36</v>
      </c>
      <c r="K364" s="1220">
        <f t="shared" ca="1" si="161"/>
        <v>48.648648648648646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IFERROR(__xludf.DUMMYFUNCTION("IMPORTRANGE(""https://docs.google.com/spreadsheets/d/1QqKyyYR6Q21VydFLVH3TRQUabQu_ym0Zz7PgGX0-kHA/edit?usp=sharing"",""แผน!EJ84"")"),34)</f>
        <v>34</v>
      </c>
      <c r="J365" s="1227">
        <f ca="1">J372</f>
        <v>0</v>
      </c>
      <c r="K365" s="1228">
        <f t="shared" ca="1" si="161"/>
        <v>0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IFERROR(__xludf.DUMMYFUNCTION("IMPORTRANGE(""https://docs.google.com/spreadsheets/d/1XWAQStnk-4SwqDmLtmXYiTMKHgktTP8We1SCoS47DrQ/edit?usp=sharing"",""จัดที่ดิน!E84"")"),33)</f>
        <v>33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IFERROR(__xludf.DUMMYFUNCTION("IMPORTRANGE(""https://docs.google.com/spreadsheets/d/1QqKyyYR6Q21VydFLVH3TRQUabQu_ym0Zz7PgGX0-kHA/edit?usp=sharing"",""แผน!EI84"")"),340)</f>
        <v>340</v>
      </c>
      <c r="J369" s="880">
        <f ca="1">IFERROR(__xludf.DUMMYFUNCTION("IMPORTRANGE(""https://docs.google.com/spreadsheets/d/1XWAQStnk-4SwqDmLtmXYiTMKHgktTP8We1SCoS47DrQ/edit?usp=sharing"",""จัดที่ดิน!F84"")"),206.65)</f>
        <v>206.65</v>
      </c>
      <c r="K369" s="881">
        <f t="shared" ca="1" si="163"/>
        <v>60.779411764705884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IFERROR(__xludf.DUMMYFUNCTION("IMPORTRANGE(""https://docs.google.com/spreadsheets/d/1QqKyyYR6Q21VydFLVH3TRQUabQu_ym0Zz7PgGX0-kHA/edit?usp=sharing"",""แผน!EJ84"")"),34)</f>
        <v>34</v>
      </c>
      <c r="J370" s="880">
        <f ca="1">IFERROR(__xludf.DUMMYFUNCTION("IMPORTRANGE(""https://docs.google.com/spreadsheets/d/1XWAQStnk-4SwqDmLtmXYiTMKHgktTP8We1SCoS47DrQ/edit?usp=sharing"",""จัดที่ดิน!G84"")"),32)</f>
        <v>32</v>
      </c>
      <c r="K370" s="881">
        <f t="shared" ca="1" si="163"/>
        <v>94.117647058823536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IFERROR(__xludf.DUMMYFUNCTION("IMPORTRANGE(""https://docs.google.com/spreadsheets/d/1XWAQStnk-4SwqDmLtmXYiTMKHgktTP8We1SCoS47DrQ/edit?usp=sharing"",""จัดที่ดิน!H84"")"),149.19)</f>
        <v>149.19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IFERROR(__xludf.DUMMYFUNCTION("IMPORTRANGE(""https://docs.google.com/spreadsheets/d/1QqKyyYR6Q21VydFLVH3TRQUabQu_ym0Zz7PgGX0-kHA/edit?usp=sharing"",""แผน!EJ84"")"),34)</f>
        <v>34</v>
      </c>
      <c r="J372" s="880">
        <f ca="1">IFERROR(__xludf.DUMMYFUNCTION("IMPORTRANGE(""https://docs.google.com/spreadsheets/d/1XWAQStnk-4SwqDmLtmXYiTMKHgktTP8We1SCoS47DrQ/edit?usp=sharing"",""จัดที่ดิน!I84"")"),0)</f>
        <v>0</v>
      </c>
      <c r="K372" s="881">
        <f t="shared" ca="1" si="163"/>
        <v>0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IFERROR(__xludf.DUMMYFUNCTION("IMPORTRANGE(""https://docs.google.com/spreadsheets/d/1XWAQStnk-4SwqDmLtmXYiTMKHgktTP8We1SCoS47DrQ/edit?usp=sharing"",""จัดที่ดิน!J84"")"),0)</f>
        <v>0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IFERROR(__xludf.DUMMYFUNCTION("IMPORTRANGE(""https://docs.google.com/spreadsheets/d/1QqKyyYR6Q21VydFLVH3TRQUabQu_ym0Zz7PgGX0-kHA/edit?usp=sharing"",""แผน!EU84"")"),40)</f>
        <v>40</v>
      </c>
      <c r="J374" s="1227">
        <f ca="1">J381</f>
        <v>36</v>
      </c>
      <c r="K374" s="1228">
        <f t="shared" ca="1" si="163"/>
        <v>90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IFERROR(__xludf.DUMMYFUNCTION("IMPORTRANGE(""https://docs.google.com/spreadsheets/d/1XWAQStnk-4SwqDmLtmXYiTMKHgktTP8We1SCoS47DrQ/edit?usp=sharing"",""จัดที่ดิน!AH84"")"),14)</f>
        <v>14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IFERROR(__xludf.DUMMYFUNCTION("IMPORTRANGE(""https://docs.google.com/spreadsheets/d/1QqKyyYR6Q21VydFLVH3TRQUabQu_ym0Zz7PgGX0-kHA/edit?usp=sharing"",""แผน!ET84"")"),100)</f>
        <v>100</v>
      </c>
      <c r="J378" s="880">
        <f ca="1">IFERROR(__xludf.DUMMYFUNCTION("IMPORTRANGE(""https://docs.google.com/spreadsheets/d/1XWAQStnk-4SwqDmLtmXYiTMKHgktTP8We1SCoS47DrQ/edit?usp=sharing"",""จัดที่ดิน!AI84"")"),113.28)</f>
        <v>113.28</v>
      </c>
      <c r="K378" s="881">
        <f t="shared" ca="1" si="164"/>
        <v>113.28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IFERROR(__xludf.DUMMYFUNCTION("IMPORTRANGE(""https://docs.google.com/spreadsheets/d/1QqKyyYR6Q21VydFLVH3TRQUabQu_ym0Zz7PgGX0-kHA/edit?usp=sharing"",""แผน!EU84"")"),40)</f>
        <v>40</v>
      </c>
      <c r="J379" s="880">
        <f ca="1">IFERROR(__xludf.DUMMYFUNCTION("IMPORTRANGE(""https://docs.google.com/spreadsheets/d/1XWAQStnk-4SwqDmLtmXYiTMKHgktTP8We1SCoS47DrQ/edit?usp=sharing"",""จัดที่ดิน!AJ84"")"),36)</f>
        <v>36</v>
      </c>
      <c r="K379" s="881">
        <f t="shared" ca="1" si="164"/>
        <v>90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IFERROR(__xludf.DUMMYFUNCTION("IMPORTRANGE(""https://docs.google.com/spreadsheets/d/1XWAQStnk-4SwqDmLtmXYiTMKHgktTP8We1SCoS47DrQ/edit?usp=sharing"",""จัดที่ดิน!AK84"")"),259.289999999999)</f>
        <v>259.289999999999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IFERROR(__xludf.DUMMYFUNCTION("IMPORTRANGE(""https://docs.google.com/spreadsheets/d/1QqKyyYR6Q21VydFLVH3TRQUabQu_ym0Zz7PgGX0-kHA/edit?usp=sharing"",""แผน!EU84"")"),40)</f>
        <v>40</v>
      </c>
      <c r="J381" s="880">
        <f ca="1">IFERROR(__xludf.DUMMYFUNCTION("IMPORTRANGE(""https://docs.google.com/spreadsheets/d/1XWAQStnk-4SwqDmLtmXYiTMKHgktTP8We1SCoS47DrQ/edit?usp=sharing"",""จัดที่ดิน!AL84"")"),36)</f>
        <v>36</v>
      </c>
      <c r="K381" s="881">
        <f t="shared" ca="1" si="164"/>
        <v>90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IFERROR(__xludf.DUMMYFUNCTION("IMPORTRANGE(""https://docs.google.com/spreadsheets/d/1XWAQStnk-4SwqDmLtmXYiTMKHgktTP8We1SCoS47DrQ/edit?usp=sharing"",""จัดที่ดิน!AM84"")"),259.289999999999)</f>
        <v>259.289999999999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IFERROR(__xludf.DUMMYFUNCTION("IMPORTRANGE(""https://docs.google.com/spreadsheets/d/1QqKyyYR6Q21VydFLVH3TRQUabQu_ym0Zz7PgGX0-kHA/edit?usp=sharing"",""แผน!EW84"")"),10)</f>
        <v>10</v>
      </c>
      <c r="J385" s="1138">
        <f ca="1">IFERROR(__xludf.DUMMYFUNCTION("IMPORTRANGE(""https://docs.google.com/spreadsheets/d/1XWAQStnk-4SwqDmLtmXYiTMKHgktTP8We1SCoS47DrQ/edit?usp=sharing"",""จัดที่ดิน!AP84"")"),0)</f>
        <v>0</v>
      </c>
      <c r="K385" s="1239">
        <f ca="1">IF(I385&gt;0,J385*100/I385,0)</f>
        <v>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IFERROR(__xludf.DUMMYFUNCTION("IMPORTRANGE(""https://docs.google.com/spreadsheets/d/1MeEWN-I1oV_STSDYn1IFDPWt_1FKiwhDph83XaGc0o0/edit?usp=sharing"",""งบพรบ!FG84"")"),0)</f>
        <v>0</v>
      </c>
      <c r="M394" s="887">
        <f ca="1">IFERROR(__xludf.DUMMYFUNCTION("IMPORTRANGE(""https://docs.google.com/spreadsheets/d/1MeEWN-I1oV_STSDYn1IFDPWt_1FKiwhDph83XaGc0o0/edit?usp=sharing"",""งบพรบ!FL84"")"),0)</f>
        <v>0</v>
      </c>
      <c r="N394" s="887">
        <f ca="1">IFERROR(__xludf.DUMMYFUNCTION("IMPORTRANGE(""https://docs.google.com/spreadsheets/d/1MeEWN-I1oV_STSDYn1IFDPWt_1FKiwhDph83XaGc0o0/edit?usp=sharing"",""งบพรบ!FN84"")"),0)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IFERROR(__xludf.DUMMYFUNCTION("IMPORTRANGE(""https://docs.google.com/spreadsheets/d/1MeEWN-I1oV_STSDYn1IFDPWt_1FKiwhDph83XaGc0o0/edit?usp=sharing"",""งบพรบ!FJ84"")"),0)</f>
        <v>0</v>
      </c>
      <c r="M397" s="887">
        <f ca="1">IFERROR(__xludf.DUMMYFUNCTION("IMPORTRANGE(""https://docs.google.com/spreadsheets/d/1MeEWN-I1oV_STSDYn1IFDPWt_1FKiwhDph83XaGc0o0/edit?usp=sharing"",""งบพรบ!FM84"")"),0)</f>
        <v>0</v>
      </c>
      <c r="N397" s="887">
        <f ca="1">IFERROR(__xludf.DUMMYFUNCTION("IMPORTRANGE(""https://docs.google.com/spreadsheets/d/1MeEWN-I1oV_STSDYn1IFDPWt_1FKiwhDph83XaGc0o0/edit?usp=sharing"",""งบพรบ!FO84"")"),0)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IFERROR(__xludf.DUMMYFUNCTION("IMPORTRANGE(""https://docs.google.com/spreadsheets/d/1MeEWN-I1oV_STSDYn1IFDPWt_1FKiwhDph83XaGc0o0/edit?usp=sharing"",""งบพรบ!FQ84"")"),0)</f>
        <v>0</v>
      </c>
      <c r="M407" s="887">
        <f ca="1">IFERROR(__xludf.DUMMYFUNCTION("IMPORTRANGE(""https://docs.google.com/spreadsheets/d/1MeEWN-I1oV_STSDYn1IFDPWt_1FKiwhDph83XaGc0o0/edit?usp=sharing"",""งบพรบ!FV84"")"),0)</f>
        <v>0</v>
      </c>
      <c r="N407" s="887">
        <f ca="1">IFERROR(__xludf.DUMMYFUNCTION("IMPORTRANGE(""https://docs.google.com/spreadsheets/d/1MeEWN-I1oV_STSDYn1IFDPWt_1FKiwhDph83XaGc0o0/edit?usp=sharing"",""งบพรบ!FX84"")"),0)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IFERROR(__xludf.DUMMYFUNCTION("IMPORTRANGE(""https://docs.google.com/spreadsheets/d/1MeEWN-I1oV_STSDYn1IFDPWt_1FKiwhDph83XaGc0o0/edit?usp=sharing"",""งบพรบ!FT84"")"),0)</f>
        <v>0</v>
      </c>
      <c r="M410" s="887">
        <f ca="1">IFERROR(__xludf.DUMMYFUNCTION("IMPORTRANGE(""https://docs.google.com/spreadsheets/d/1MeEWN-I1oV_STSDYn1IFDPWt_1FKiwhDph83XaGc0o0/edit?usp=sharing"",""งบพรบ!FW84"")"),0)</f>
        <v>0</v>
      </c>
      <c r="N410" s="887">
        <f ca="1">IFERROR(__xludf.DUMMYFUNCTION("IMPORTRANGE(""https://docs.google.com/spreadsheets/d/1MeEWN-I1oV_STSDYn1IFDPWt_1FKiwhDph83XaGc0o0/edit?usp=sharing"",""งบพรบ!FY84"")"),0)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794275</v>
      </c>
      <c r="M414" s="1281">
        <f t="shared" ca="1" si="181"/>
        <v>794275</v>
      </c>
      <c r="N414" s="1281">
        <f t="shared" si="181"/>
        <v>423236</v>
      </c>
      <c r="O414" s="1281">
        <f ca="1">IF(L414&gt;0,N414*100/L414,0)</f>
        <v>53.285826697302575</v>
      </c>
      <c r="P414" s="1281">
        <f ca="1">IF(M414&gt;0,N414*100/M414,0)</f>
        <v>53.285826697302575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10</v>
      </c>
      <c r="J417" s="1294">
        <f t="shared" ca="1" si="182"/>
        <v>10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54560</v>
      </c>
      <c r="M419" s="992">
        <f t="shared" ca="1" si="184"/>
        <v>54560</v>
      </c>
      <c r="N419" s="992">
        <f t="shared" si="184"/>
        <v>52740</v>
      </c>
      <c r="O419" s="992">
        <f t="shared" ref="O419:O424" ca="1" si="185">IF(L419&gt;0,N419*100/L419,0)</f>
        <v>96.6642228739003</v>
      </c>
      <c r="P419" s="992">
        <f t="shared" ref="P419:P424" ca="1" si="186">IF(M419&gt;0,N419*100/M419,0)</f>
        <v>96.6642228739003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54560</v>
      </c>
      <c r="M421" s="887">
        <f t="shared" ca="1" si="187"/>
        <v>54560</v>
      </c>
      <c r="N421" s="887">
        <f t="shared" si="187"/>
        <v>52740</v>
      </c>
      <c r="O421" s="887">
        <f t="shared" ca="1" si="185"/>
        <v>96.6642228739003</v>
      </c>
      <c r="P421" s="887">
        <f t="shared" ca="1" si="186"/>
        <v>96.6642228739003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54560</v>
      </c>
      <c r="M422" s="881">
        <f t="shared" ca="1" si="188"/>
        <v>54560</v>
      </c>
      <c r="N422" s="881">
        <f t="shared" si="188"/>
        <v>52740</v>
      </c>
      <c r="O422" s="881">
        <f t="shared" ca="1" si="185"/>
        <v>96.6642228739003</v>
      </c>
      <c r="P422" s="881">
        <f t="shared" ca="1" si="186"/>
        <v>96.6642228739003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IFERROR(__xludf.DUMMYFUNCTION("IMPORTRANGE(""https://docs.google.com/spreadsheets/d/1QqKyyYR6Q21VydFLVH3TRQUabQu_ym0Zz7PgGX0-kHA/edit?usp=sharing"",""แผน!EY84"")"),54560)</f>
        <v>54560</v>
      </c>
      <c r="M424" s="887">
        <f ca="1">L424</f>
        <v>54560</v>
      </c>
      <c r="N424" s="887">
        <f>N425+N426+N427+N428</f>
        <v>52740</v>
      </c>
      <c r="O424" s="887">
        <f t="shared" ca="1" si="185"/>
        <v>96.6642228739003</v>
      </c>
      <c r="P424" s="887">
        <f t="shared" ca="1" si="186"/>
        <v>96.6642228739003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24300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28440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IFERROR(__xludf.DUMMYFUNCTION("IMPORTRANGE(""https://docs.google.com/spreadsheets/d/1QqKyyYR6Q21VydFLVH3TRQUabQu_ym0Zz7PgGX0-kHA/edit?usp=sharing"",""แผน!FB84"")"),0)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10</v>
      </c>
      <c r="J433" s="1019">
        <f ca="1">IF(AND(J435=I435,J437=I437,J439=I439),I437+I439,IF(AND(J435=I437,J437=I437),I437,IF(AND(J435=I439,J439=I439),I439,0)))</f>
        <v>10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IFERROR(__xludf.DUMMYFUNCTION("IMPORTRANGE(""https://docs.google.com/spreadsheets/d/1QqKyyYR6Q21VydFLVH3TRQUabQu_ym0Zz7PgGX0-kHA/edit?usp=sharing"",""แผน!FC84"")"),10)</f>
        <v>10</v>
      </c>
      <c r="J435" s="583">
        <v>10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IFERROR(__xludf.DUMMYFUNCTION("IMPORTRANGE(""https://docs.google.com/spreadsheets/d/1QqKyyYR6Q21VydFLVH3TRQUabQu_ym0Zz7PgGX0-kHA/edit?usp=sharing"",""แผน!FD84"")"),0)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IFERROR(__xludf.DUMMYFUNCTION("IMPORTRANGE(""https://docs.google.com/spreadsheets/d/1QqKyyYR6Q21VydFLVH3TRQUabQu_ym0Zz7PgGX0-kHA/edit?usp=sharing"",""แผน!FE84"")"),0)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IFERROR(__xludf.DUMMYFUNCTION("IMPORTRANGE(""https://docs.google.com/spreadsheets/d/1QqKyyYR6Q21VydFLVH3TRQUabQu_ym0Zz7PgGX0-kHA/edit?usp=sharing"",""แผน!FF84"")"),10)</f>
        <v>10</v>
      </c>
      <c r="J439" s="583">
        <v>10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IFERROR(__xludf.DUMMYFUNCTION("IMPORTRANGE(""https://docs.google.com/spreadsheets/d/1QqKyyYR6Q21VydFLVH3TRQUabQu_ym0Zz7PgGX0-kHA/edit?usp=sharing"",""แผน!FG84"")"),1)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IFERROR(__xludf.DUMMYFUNCTION("IMPORTRANGE(""https://docs.google.com/spreadsheets/d/1QqKyyYR6Q21VydFLVH3TRQUabQu_ym0Zz7PgGX0-kHA/edit?usp=sharing"",""แผน!FH84"")"),0)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 hidden="1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0</v>
      </c>
      <c r="J442" s="1310">
        <f t="shared" si="195"/>
        <v>0</v>
      </c>
      <c r="K442" s="1311">
        <f t="shared" ca="1" si="194"/>
        <v>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 hidden="1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0</v>
      </c>
      <c r="J443" s="1294">
        <f t="shared" si="196"/>
        <v>0</v>
      </c>
      <c r="K443" s="1295">
        <f t="shared" ca="1" si="194"/>
        <v>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 hidden="1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0</v>
      </c>
      <c r="M444" s="1020">
        <f t="shared" si="197"/>
        <v>0</v>
      </c>
      <c r="N444" s="1020">
        <f t="shared" si="197"/>
        <v>0</v>
      </c>
      <c r="O444" s="1020">
        <f t="shared" ref="O444:O449" ca="1" si="198">IF(L444&gt;0,N444*100/L444,0)</f>
        <v>0</v>
      </c>
      <c r="P444" s="1020">
        <f t="shared" ref="P444:P449" si="199">IF(M444&gt;0,N444*100/M444,0)</f>
        <v>0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0</v>
      </c>
      <c r="M446" s="887">
        <f t="shared" si="200"/>
        <v>0</v>
      </c>
      <c r="N446" s="887">
        <f t="shared" si="200"/>
        <v>0</v>
      </c>
      <c r="O446" s="887">
        <f t="shared" ca="1" si="198"/>
        <v>0</v>
      </c>
      <c r="P446" s="887">
        <f t="shared" si="199"/>
        <v>0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 hidden="1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0</v>
      </c>
      <c r="M447" s="881">
        <f t="shared" si="201"/>
        <v>0</v>
      </c>
      <c r="N447" s="881">
        <f t="shared" si="201"/>
        <v>0</v>
      </c>
      <c r="O447" s="881">
        <f t="shared" ca="1" si="198"/>
        <v>0</v>
      </c>
      <c r="P447" s="881">
        <f t="shared" si="199"/>
        <v>0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IFERROR(__xludf.DUMMYFUNCTION("IMPORTRANGE(""https://docs.google.com/spreadsheets/d/1QqKyyYR6Q21VydFLVH3TRQUabQu_ym0Zz7PgGX0-kHA/edit?usp=sharing"",""แผน!FJ84"")"),0)</f>
        <v>0</v>
      </c>
      <c r="M449" s="887">
        <v>0</v>
      </c>
      <c r="N449" s="887">
        <f>N450+N451+N452+N453</f>
        <v>0</v>
      </c>
      <c r="O449" s="887">
        <f t="shared" ca="1" si="198"/>
        <v>0</v>
      </c>
      <c r="P449" s="887">
        <f t="shared" si="199"/>
        <v>0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 hidden="1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 hidden="1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 hidden="1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 hidden="1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 hidden="1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IFERROR(__xludf.DUMMYFUNCTION("IMPORTRANGE(""https://docs.google.com/spreadsheets/d/1QqKyyYR6Q21VydFLVH3TRQUabQu_ym0Zz7PgGX0-kHA/edit?usp=sharing"",""แผน!FM84"")"),0)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 hidden="1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 hidden="1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IFERROR(__xludf.DUMMYFUNCTION("IMPORTRANGE(""https://docs.google.com/spreadsheets/d/1QqKyyYR6Q21VydFLVH3TRQUabQu_ym0Zz7PgGX0-kHA/edit?usp=sharing"",""แผน!FN84"")"),0)</f>
        <v>0</v>
      </c>
      <c r="J460" s="1012">
        <v>0</v>
      </c>
      <c r="K460" s="881">
        <f ca="1">IF(I460&gt;0,J460*100/I460,0)</f>
        <v>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 hidden="1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 hidden="1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IFERROR(__xludf.DUMMYFUNCTION("IMPORTRANGE(""https://docs.google.com/spreadsheets/d/1QqKyyYR6Q21VydFLVH3TRQUabQu_ym0Zz7PgGX0-kHA/edit?usp=sharing"",""แผน!FO84"")"),0)</f>
        <v>0</v>
      </c>
      <c r="J462" s="1012">
        <v>0</v>
      </c>
      <c r="K462" s="881">
        <f ca="1">IF(I462&gt;0,J462*100/I462,0)</f>
        <v>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 hidden="1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IFERROR(__xludf.DUMMYFUNCTION("IMPORTRANGE(""https://docs.google.com/spreadsheets/d/1QqKyyYR6Q21VydFLVH3TRQUabQu_ym0Zz7PgGX0-kHA/edit?usp=sharing"",""แผน!FO84"")"),0)</f>
        <v>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 hidden="1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IFERROR(__xludf.DUMMYFUNCTION("IMPORTRANGE(""https://docs.google.com/spreadsheets/d/1QqKyyYR6Q21VydFLVH3TRQUabQu_ym0Zz7PgGX0-kHA/edit?usp=sharing"",""แผน!FN84"")"),0)</f>
        <v>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IFERROR(__xludf.DUMMYFUNCTION("IMPORTRANGE(""https://docs.google.com/spreadsheets/d/1QqKyyYR6Q21VydFLVH3TRQUabQu_ym0Zz7PgGX0-kHA/edit?usp=sharing"",""แผน!FX84"")"),11)</f>
        <v>11</v>
      </c>
      <c r="J465" s="1310">
        <f>J485+J489+J492</f>
        <v>11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IFERROR(__xludf.DUMMYFUNCTION("IMPORTRANGE(""https://docs.google.com/spreadsheets/d/1QqKyyYR6Q21VydFLVH3TRQUabQu_ym0Zz7PgGX0-kHA/edit?usp=sharing"",""แผน!FW84"")"),100)</f>
        <v>100</v>
      </c>
      <c r="J466" s="1294">
        <f>J495+J498</f>
        <v>100</v>
      </c>
      <c r="K466" s="1295">
        <f t="shared" ca="1" si="205"/>
        <v>100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114463</v>
      </c>
      <c r="M467" s="1020">
        <f t="shared" ca="1" si="206"/>
        <v>114463</v>
      </c>
      <c r="N467" s="1020">
        <f t="shared" si="206"/>
        <v>112145</v>
      </c>
      <c r="O467" s="1020">
        <f t="shared" ref="O467:O472" ca="1" si="207">IF(L467&gt;0,N467*100/L467,0)</f>
        <v>97.974891449638747</v>
      </c>
      <c r="P467" s="1020">
        <f t="shared" ref="P467:P472" ca="1" si="208">IF(M467&gt;0,N467*100/M467,0)</f>
        <v>97.974891449638747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114463</v>
      </c>
      <c r="M469" s="887">
        <f t="shared" ca="1" si="209"/>
        <v>114463</v>
      </c>
      <c r="N469" s="887">
        <f t="shared" si="209"/>
        <v>112145</v>
      </c>
      <c r="O469" s="887">
        <f t="shared" ca="1" si="207"/>
        <v>97.974891449638747</v>
      </c>
      <c r="P469" s="887">
        <f t="shared" ca="1" si="208"/>
        <v>97.974891449638747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114463</v>
      </c>
      <c r="M470" s="881">
        <f t="shared" ca="1" si="210"/>
        <v>114463</v>
      </c>
      <c r="N470" s="881">
        <f t="shared" si="210"/>
        <v>112145</v>
      </c>
      <c r="O470" s="881">
        <f t="shared" ca="1" si="207"/>
        <v>97.974891449638747</v>
      </c>
      <c r="P470" s="881">
        <f t="shared" ca="1" si="208"/>
        <v>97.974891449638747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IFERROR(__xludf.DUMMYFUNCTION("IMPORTRANGE(""https://docs.google.com/spreadsheets/d/1QqKyyYR6Q21VydFLVH3TRQUabQu_ym0Zz7PgGX0-kHA/edit?usp=sharing"",""แผน!FS84"")"),114463)</f>
        <v>114463</v>
      </c>
      <c r="M472" s="887">
        <f ca="1">L472</f>
        <v>114463</v>
      </c>
      <c r="N472" s="887">
        <f>N473+N474+N475+N476</f>
        <v>112145</v>
      </c>
      <c r="O472" s="887">
        <f t="shared" ca="1" si="207"/>
        <v>97.974891449638747</v>
      </c>
      <c r="P472" s="887">
        <f t="shared" ca="1" si="208"/>
        <v>97.974891449638747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14293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66000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v>31852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IFERROR(__xludf.DUMMYFUNCTION("IMPORTRANGE(""https://docs.google.com/spreadsheets/d/1QqKyyYR6Q21VydFLVH3TRQUabQu_ym0Zz7PgGX0-kHA/edit?usp=sharing"",""แผน!FV84"")"),0)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IFERROR(__xludf.DUMMYFUNCTION("IMPORTRANGE(""https://docs.google.com/spreadsheets/d/1QqKyyYR6Q21VydFLVH3TRQUabQu_ym0Zz7PgGX0-kHA/edit?usp=sharing"",""แผน!FY84"")"),90)</f>
        <v>90</v>
      </c>
      <c r="J483" s="1012">
        <v>90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9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IFERROR(__xludf.DUMMYFUNCTION("IMPORTRANGE(""https://docs.google.com/spreadsheets/d/1QqKyyYR6Q21VydFLVH3TRQUabQu_ym0Zz7PgGX0-kHA/edit?usp=sharing"",""แผน!FZ84"")"),9)</f>
        <v>9</v>
      </c>
      <c r="J485" s="1012">
        <v>9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IFERROR(__xludf.DUMMYFUNCTION("IMPORTRANGE(""https://docs.google.com/spreadsheets/d/1QqKyyYR6Q21VydFLVH3TRQUabQu_ym0Zz7PgGX0-kHA/edit?usp=sharing"",""แผน!GA84"")"),10)</f>
        <v>10</v>
      </c>
      <c r="J487" s="1012">
        <v>10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1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IFERROR(__xludf.DUMMYFUNCTION("IMPORTRANGE(""https://docs.google.com/spreadsheets/d/1QqKyyYR6Q21VydFLVH3TRQUabQu_ym0Zz7PgGX0-kHA/edit?usp=sharing"",""แผน!GB84"")"),1)</f>
        <v>1</v>
      </c>
      <c r="J489" s="1012">
        <v>1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IFERROR(__xludf.DUMMYFUNCTION("IMPORTRANGE(""https://docs.google.com/spreadsheets/d/1QqKyyYR6Q21VydFLVH3TRQUabQu_ym0Zz7PgGX0-kHA/edit?usp=sharing"",""แผน!GC84"")"),1)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IFERROR(__xludf.DUMMYFUNCTION("IMPORTRANGE(""https://docs.google.com/spreadsheets/d/1QqKyyYR6Q21VydFLVH3TRQUabQu_ym0Zz7PgGX0-kHA/edit?usp=sharing"",""แผน!FY84"")"),90)</f>
        <v>90</v>
      </c>
      <c r="J495" s="1012">
        <v>90</v>
      </c>
      <c r="K495" s="881">
        <f ca="1">IF(I495&gt;0,J495*100/I495,0)</f>
        <v>100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IFERROR(__xludf.DUMMYFUNCTION("IMPORTRANGE(""https://docs.google.com/spreadsheets/d/1QqKyyYR6Q21VydFLVH3TRQUabQu_ym0Zz7PgGX0-kHA/edit?usp=sharing"",""แผน!GA84"")"),10)</f>
        <v>10</v>
      </c>
      <c r="J498" s="1012">
        <v>10</v>
      </c>
      <c r="K498" s="881">
        <f ca="1">IF(I498&gt;0,J498*100/I498,0)</f>
        <v>100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0</v>
      </c>
      <c r="J522" s="1377">
        <f t="shared" ca="1" si="225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0</v>
      </c>
      <c r="M523" s="1020">
        <f t="shared" si="226"/>
        <v>0</v>
      </c>
      <c r="N523" s="1020">
        <f t="shared" si="226"/>
        <v>0</v>
      </c>
      <c r="O523" s="1020">
        <f t="shared" ref="O523:O528" ca="1" si="227">IF(L523&gt;0,N523*100/L523,0)</f>
        <v>0</v>
      </c>
      <c r="P523" s="1020">
        <f t="shared" ref="P523:P528" si="228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0</v>
      </c>
      <c r="M525" s="887">
        <f t="shared" si="229"/>
        <v>0</v>
      </c>
      <c r="N525" s="887">
        <f t="shared" si="229"/>
        <v>0</v>
      </c>
      <c r="O525" s="887">
        <f t="shared" ca="1" si="227"/>
        <v>0</v>
      </c>
      <c r="P525" s="887">
        <f t="shared" si="228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0</v>
      </c>
      <c r="M526" s="881">
        <f t="shared" si="230"/>
        <v>0</v>
      </c>
      <c r="N526" s="881">
        <f t="shared" si="230"/>
        <v>0</v>
      </c>
      <c r="O526" s="881">
        <f t="shared" ca="1" si="227"/>
        <v>0</v>
      </c>
      <c r="P526" s="881">
        <f t="shared" si="228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IFERROR(__xludf.DUMMYFUNCTION("IMPORTRANGE(""https://docs.google.com/spreadsheets/d/1QqKyyYR6Q21VydFLVH3TRQUabQu_ym0Zz7PgGX0-kHA/edit?usp=sharing"",""แผน!GQ84"")"),0)</f>
        <v>0</v>
      </c>
      <c r="M528" s="887">
        <v>0</v>
      </c>
      <c r="N528" s="887">
        <f>N529+N530+N531+N532</f>
        <v>0</v>
      </c>
      <c r="O528" s="887">
        <f t="shared" ca="1" si="227"/>
        <v>0</v>
      </c>
      <c r="P528" s="887">
        <f t="shared" si="228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IFERROR(__xludf.DUMMYFUNCTION("IMPORTRANGE(""https://docs.google.com/spreadsheets/d/1QqKyyYR6Q21VydFLVH3TRQUabQu_ym0Zz7PgGX0-kHA/edit?usp=sharing"",""แผน!GT84"")"),0)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IFERROR(__xludf.DUMMYFUNCTION("IMPORTRANGE(""https://docs.google.com/spreadsheets/d/1QqKyyYR6Q21VydFLVH3TRQUabQu_ym0Zz7PgGX0-kHA/edit?usp=sharing"",""แผน!GU84"")"),0)</f>
        <v>0</v>
      </c>
      <c r="J537" s="1019">
        <f ca="1">IF(AND(J538=I538,J539=I539,J540=I540,J541=I541),I537,0)</f>
        <v>0</v>
      </c>
      <c r="K537" s="881">
        <f t="shared" ref="K537:K543" ca="1" si="234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IFERROR(__xludf.DUMMYFUNCTION("IMPORTRANGE(""https://docs.google.com/spreadsheets/d/1QqKyyYR6Q21VydFLVH3TRQUabQu_ym0Zz7PgGX0-kHA/edit?usp=sharing"",""แผน!GV84"")"),0)</f>
        <v>0</v>
      </c>
      <c r="J538" s="1012">
        <v>0</v>
      </c>
      <c r="K538" s="881">
        <f t="shared" ca="1" si="234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IFERROR(__xludf.DUMMYFUNCTION("IMPORTRANGE(""https://docs.google.com/spreadsheets/d/1QqKyyYR6Q21VydFLVH3TRQUabQu_ym0Zz7PgGX0-kHA/edit?usp=sharing"",""แผน!GW84"")"),0)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IFERROR(__xludf.DUMMYFUNCTION("IMPORTRANGE(""https://docs.google.com/spreadsheets/d/1QqKyyYR6Q21VydFLVH3TRQUabQu_ym0Zz7PgGX0-kHA/edit?usp=sharing"",""แผน!GX84"")"),0)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IFERROR(__xludf.DUMMYFUNCTION("IMPORTRANGE(""https://docs.google.com/spreadsheets/d/1QqKyyYR6Q21VydFLVH3TRQUabQu_ym0Zz7PgGX0-kHA/edit?usp=sharing"",""แผน!GY84"")"),0)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IFERROR(__xludf.DUMMYFUNCTION("IMPORTRANGE(""https://docs.google.com/spreadsheets/d/1QqKyyYR6Q21VydFLVH3TRQUabQu_ym0Zz7PgGX0-kHA/edit?usp=sharing"",""แผน!GZ84"")"),0)</f>
        <v>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6007</v>
      </c>
      <c r="J543" s="1384">
        <f t="shared" si="235"/>
        <v>0</v>
      </c>
      <c r="K543" s="1385">
        <f t="shared" ca="1" si="234"/>
        <v>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231097</v>
      </c>
      <c r="M544" s="992">
        <f t="shared" ca="1" si="236"/>
        <v>231097</v>
      </c>
      <c r="N544" s="992">
        <f t="shared" si="236"/>
        <v>139436</v>
      </c>
      <c r="O544" s="992">
        <f t="shared" ref="O544:O549" ca="1" si="237">IF(L544&gt;0,N544*100/L544,0)</f>
        <v>60.336568627026743</v>
      </c>
      <c r="P544" s="992">
        <f t="shared" ref="P544:P549" ca="1" si="238">IF(M544&gt;0,N544*100/M544,0)</f>
        <v>60.336568627026743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231097</v>
      </c>
      <c r="M546" s="887">
        <f t="shared" ca="1" si="240"/>
        <v>231097</v>
      </c>
      <c r="N546" s="887">
        <f t="shared" si="240"/>
        <v>139436</v>
      </c>
      <c r="O546" s="887">
        <f t="shared" ca="1" si="237"/>
        <v>60.336568627026743</v>
      </c>
      <c r="P546" s="887">
        <f t="shared" ca="1" si="238"/>
        <v>60.336568627026743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231097</v>
      </c>
      <c r="M547" s="881">
        <f t="shared" ca="1" si="241"/>
        <v>231097</v>
      </c>
      <c r="N547" s="881">
        <f t="shared" si="241"/>
        <v>139436</v>
      </c>
      <c r="O547" s="881">
        <f t="shared" ca="1" si="237"/>
        <v>60.336568627026743</v>
      </c>
      <c r="P547" s="881">
        <f t="shared" ca="1" si="238"/>
        <v>60.336568627026743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IFERROR(__xludf.DUMMYFUNCTION("IMPORTRANGE(""https://docs.google.com/spreadsheets/d/1QqKyyYR6Q21VydFLVH3TRQUabQu_ym0Zz7PgGX0-kHA/edit?usp=sharing"",""แผน!HB84"")"),231097)</f>
        <v>231097</v>
      </c>
      <c r="M549" s="887">
        <f ca="1">L549</f>
        <v>231097</v>
      </c>
      <c r="N549" s="887">
        <f>N550+N551+N552+N553+N554</f>
        <v>139436</v>
      </c>
      <c r="O549" s="887">
        <f t="shared" ca="1" si="237"/>
        <v>60.336568627026743</v>
      </c>
      <c r="P549" s="887">
        <f t="shared" ca="1" si="238"/>
        <v>60.336568627026743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65000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v>74436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IFERROR(__xludf.DUMMYFUNCTION("IMPORTRANGE(""https://docs.google.com/spreadsheets/d/1QqKyyYR6Q21VydFLVH3TRQUabQu_ym0Zz7PgGX0-kHA/edit?usp=sharing"",""แผน!HF84"")"),0)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6007</v>
      </c>
      <c r="J559" s="1377">
        <f t="shared" si="245"/>
        <v>0</v>
      </c>
      <c r="K559" s="1378">
        <f t="shared" ref="K559:K561" ca="1" si="246">IF(I559&gt;0,J559*100/I559,0)</f>
        <v>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IFERROR(__xludf.DUMMYFUNCTION("IMPORTRANGE(""https://docs.google.com/spreadsheets/d/1QqKyyYR6Q21VydFLVH3TRQUabQu_ym0Zz7PgGX0-kHA/edit?usp=sharing"",""แผน!HH84"")"),6007)</f>
        <v>6007</v>
      </c>
      <c r="J560" s="1018">
        <f t="shared" ref="J560:J561" si="247">J562+J564+J566</f>
        <v>6007</v>
      </c>
      <c r="K560" s="1162">
        <f t="shared" ca="1" si="246"/>
        <v>100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IFERROR(__xludf.DUMMYFUNCTION("IMPORTRANGE(""https://docs.google.com/spreadsheets/d/1QqKyyYR6Q21VydFLVH3TRQUabQu_ym0Zz7PgGX0-kHA/edit?usp=sharing"",""แผน!HG84"")"),823)</f>
        <v>823</v>
      </c>
      <c r="J561" s="1018">
        <f t="shared" si="247"/>
        <v>823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5493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756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442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57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72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10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IFERROR(__xludf.DUMMYFUNCTION("IMPORTRANGE(""https://docs.google.com/spreadsheets/d/1QqKyyYR6Q21VydFLVH3TRQUabQu_ym0Zz7PgGX0-kHA/edit?usp=sharing"",""แผน!HH84"")"),6007)</f>
        <v>6007</v>
      </c>
      <c r="J568" s="1019">
        <f t="shared" ref="J568:J569" si="248">J570+J572+J574</f>
        <v>6007</v>
      </c>
      <c r="K568" s="1162">
        <f t="shared" ref="K568:K569" ca="1" si="249">IF(I568&gt;0,J568*100/I568,0)</f>
        <v>100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IFERROR(__xludf.DUMMYFUNCTION("IMPORTRANGE(""https://docs.google.com/spreadsheets/d/1QqKyyYR6Q21VydFLVH3TRQUabQu_ym0Zz7PgGX0-kHA/edit?usp=sharing"",""แผน!HG84"")"),823)</f>
        <v>823</v>
      </c>
      <c r="J569" s="1019">
        <f t="shared" si="248"/>
        <v>823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5493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756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442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57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72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10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IFERROR(__xludf.DUMMYFUNCTION("IMPORTRANGE(""https://docs.google.com/spreadsheets/d/1QqKyyYR6Q21VydFLVH3TRQUabQu_ym0Zz7PgGX0-kHA/edit?usp=sharing"",""แผน!HH84"")"),6007)</f>
        <v>6007</v>
      </c>
      <c r="J576" s="1019">
        <f t="shared" ref="J576:J577" si="250">J578+J580+J582+J588+J590</f>
        <v>0</v>
      </c>
      <c r="K576" s="1162">
        <f t="shared" ref="K576:K577" ca="1" si="251">IF(I576&gt;0,J576*100/I576,0)</f>
        <v>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IFERROR(__xludf.DUMMYFUNCTION("IMPORTRANGE(""https://docs.google.com/spreadsheets/d/1QqKyyYR6Q21VydFLVH3TRQUabQu_ym0Zz7PgGX0-kHA/edit?usp=sharing"",""แผน!HG84"")"),823)</f>
        <v>823</v>
      </c>
      <c r="J577" s="1019">
        <f t="shared" si="250"/>
        <v>0</v>
      </c>
      <c r="K577" s="1162">
        <f t="shared" ca="1" si="251"/>
        <v>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0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0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0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0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0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0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50.42</v>
      </c>
      <c r="J592" s="1377">
        <f t="shared" si="253"/>
        <v>50</v>
      </c>
      <c r="K592" s="1378">
        <f t="shared" ref="K592:K594" ca="1" si="254">IF(I592&gt;0,J592*100/I592,0)</f>
        <v>99.166997223324074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IFERROR(__xludf.DUMMYFUNCTION("IMPORTRANGE(""https://docs.google.com/spreadsheets/d/1QqKyyYR6Q21VydFLVH3TRQUabQu_ym0Zz7PgGX0-kHA/edit?usp=sharing"",""แผน!HJ84"")"),50.42)</f>
        <v>50.42</v>
      </c>
      <c r="J593" s="1018">
        <f t="shared" ref="J593:J594" si="255">J595+J603+J609</f>
        <v>50</v>
      </c>
      <c r="K593" s="1162">
        <f t="shared" ca="1" si="254"/>
        <v>99.166997223324074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IFERROR(__xludf.DUMMYFUNCTION("IMPORTRANGE(""https://docs.google.com/spreadsheets/d/1QqKyyYR6Q21VydFLVH3TRQUabQu_ym0Zz7PgGX0-kHA/edit?usp=sharing"",""แผน!HI84"")"),8)</f>
        <v>8</v>
      </c>
      <c r="J594" s="1018">
        <f t="shared" si="255"/>
        <v>8</v>
      </c>
      <c r="K594" s="1162">
        <f t="shared" ca="1" si="254"/>
        <v>100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50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8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50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8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IFERROR(__xludf.DUMMYFUNCTION("IMPORTRANGE(""https://docs.google.com/spreadsheets/d/1QqKyyYR6Q21VydFLVH3TRQUabQu_ym0Zz7PgGX0-kHA/edit?usp=sharing"",""แผน!HL84"")"),0)</f>
        <v>0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IFERROR(__xludf.DUMMYFUNCTION("IMPORTRANGE(""https://docs.google.com/spreadsheets/d/1QqKyyYR6Q21VydFLVH3TRQUabQu_ym0Zz7PgGX0-kHA/edit?usp=sharing"",""แผน!HK84"")"),0)</f>
        <v>0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120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384755</v>
      </c>
      <c r="M629" s="1020">
        <f t="shared" ca="1" si="263"/>
        <v>384755</v>
      </c>
      <c r="N629" s="1020">
        <f t="shared" si="263"/>
        <v>111895</v>
      </c>
      <c r="O629" s="1020">
        <f t="shared" ref="O629:O634" ca="1" si="264">IF(L629&gt;0,N629*100/L629,0)</f>
        <v>29.082143182024925</v>
      </c>
      <c r="P629" s="1020">
        <f t="shared" ref="P629:P634" ca="1" si="265">IF(M629&gt;0,N629*100/M629,0)</f>
        <v>29.082143182024925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384755</v>
      </c>
      <c r="M631" s="887">
        <f t="shared" ca="1" si="266"/>
        <v>384755</v>
      </c>
      <c r="N631" s="887">
        <f t="shared" si="266"/>
        <v>111895</v>
      </c>
      <c r="O631" s="887">
        <f t="shared" ca="1" si="264"/>
        <v>29.082143182024925</v>
      </c>
      <c r="P631" s="887">
        <f t="shared" ca="1" si="265"/>
        <v>29.082143182024925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384755</v>
      </c>
      <c r="M632" s="881">
        <f t="shared" ca="1" si="267"/>
        <v>384755</v>
      </c>
      <c r="N632" s="881">
        <f t="shared" si="267"/>
        <v>111895</v>
      </c>
      <c r="O632" s="881">
        <f t="shared" ca="1" si="264"/>
        <v>29.082143182024925</v>
      </c>
      <c r="P632" s="881">
        <f t="shared" ca="1" si="265"/>
        <v>29.082143182024925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IFERROR(__xludf.DUMMYFUNCTION("IMPORTRANGE(""https://docs.google.com/spreadsheets/d/1QqKyyYR6Q21VydFLVH3TRQUabQu_ym0Zz7PgGX0-kHA/edit?usp=sharing"",""แผน!HN84"")"),384755)</f>
        <v>384755</v>
      </c>
      <c r="M634" s="887">
        <f ca="1">L634</f>
        <v>384755</v>
      </c>
      <c r="N634" s="887">
        <f>N635+N636+N637+N638</f>
        <v>111895</v>
      </c>
      <c r="O634" s="887">
        <f t="shared" ca="1" si="264"/>
        <v>29.082143182024925</v>
      </c>
      <c r="P634" s="887">
        <f t="shared" ca="1" si="265"/>
        <v>29.082143182024925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65000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46895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IFERROR(__xludf.DUMMYFUNCTION("IMPORTRANGE(""https://docs.google.com/spreadsheets/d/1QqKyyYR6Q21VydFLVH3TRQUabQu_ym0Zz7PgGX0-kHA/edit?usp=sharing"",""แผน!HQ84"")"),0)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IFERROR(__xludf.DUMMYFUNCTION("IMPORTRANGE(""https://docs.google.com/spreadsheets/d/1QqKyyYR6Q21VydFLVH3TRQUabQu_ym0Zz7PgGX0-kHA/edit?usp=sharing"",""แผน!HR84"")"),2)</f>
        <v>2</v>
      </c>
      <c r="J643" s="1012">
        <v>2</v>
      </c>
      <c r="K643" s="998">
        <f t="shared" ref="K643:K652" ca="1" si="271">IF(I643&gt;0,J643*100/I643,0)</f>
        <v>100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IFERROR(__xludf.DUMMYFUNCTION("IMPORTRANGE(""https://docs.google.com/spreadsheets/d/1QqKyyYR6Q21VydFLVH3TRQUabQu_ym0Zz7PgGX0-kHA/edit?usp=sharing"",""แผน!HR84"")"),2)</f>
        <v>2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IFERROR(__xludf.DUMMYFUNCTION("IMPORTRANGE(""https://docs.google.com/spreadsheets/d/1XWAQStnk-4SwqDmLtmXYiTMKHgktTP8We1SCoS47DrQ/edit?usp=sharing"",""จัดที่ดิน!AS84"")"),0)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IFERROR(__xludf.DUMMYFUNCTION("IMPORTRANGE(""https://docs.google.com/spreadsheets/d/1XWAQStnk-4SwqDmLtmXYiTMKHgktTP8We1SCoS47DrQ/edit?usp=sharing"",""จัดที่ดิน!AT84"")"),0)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IFERROR(__xludf.DUMMYFUNCTION("IMPORTRANGE(""https://docs.google.com/spreadsheets/d/1QqKyyYR6Q21VydFLVH3TRQUabQu_ym0Zz7PgGX0-kHA/edit?usp=sharing"",""แผน!HS84"")"),120)</f>
        <v>120</v>
      </c>
      <c r="J647" s="880">
        <f ca="1">IFERROR(__xludf.DUMMYFUNCTION("IMPORTRANGE(""https://docs.google.com/spreadsheets/d/1XWAQStnk-4SwqDmLtmXYiTMKHgktTP8We1SCoS47DrQ/edit?usp=sharing"",""จัดที่ดิน!AU84"")"),0)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IFERROR(__xludf.DUMMYFUNCTION("IMPORTRANGE(""https://docs.google.com/spreadsheets/d/1XWAQStnk-4SwqDmLtmXYiTMKHgktTP8We1SCoS47DrQ/edit?usp=sharing"",""จัดที่ดิน!AV84"")"),0)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IFERROR(__xludf.DUMMYFUNCTION("IMPORTRANGE(""https://docs.google.com/spreadsheets/d/1QqKyyYR6Q21VydFLVH3TRQUabQu_ym0Zz7PgGX0-kHA/edit?usp=sharing"",""แผน!HS84"")"),120)</f>
        <v>120</v>
      </c>
      <c r="J649" s="880">
        <f ca="1">IFERROR(__xludf.DUMMYFUNCTION("IMPORTRANGE(""https://docs.google.com/spreadsheets/d/1XWAQStnk-4SwqDmLtmXYiTMKHgktTP8We1SCoS47DrQ/edit?usp=sharing"",""จัดที่ดิน!AW84"")"),0)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IFERROR(__xludf.DUMMYFUNCTION("IMPORTRANGE(""https://docs.google.com/spreadsheets/d/1XWAQStnk-4SwqDmLtmXYiTMKHgktTP8We1SCoS47DrQ/edit?usp=sharing"",""จัดที่ดิน!AX84"")"),0)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IFERROR(__xludf.DUMMYFUNCTION("IMPORTRANGE(""https://docs.google.com/spreadsheets/d/1QqKyyYR6Q21VydFLVH3TRQUabQu_ym0Zz7PgGX0-kHA/edit?usp=sharing"",""แผน!HS84"")"),120)</f>
        <v>120</v>
      </c>
      <c r="J651" s="880">
        <f ca="1">IFERROR(__xludf.DUMMYFUNCTION("IMPORTRANGE(""https://docs.google.com/spreadsheets/d/1XWAQStnk-4SwqDmLtmXYiTMKHgktTP8We1SCoS47DrQ/edit?usp=sharing"",""จัดที่ดิน!AY84"")"),0)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IFERROR(__xludf.DUMMYFUNCTION("IMPORTRANGE(""https://docs.google.com/spreadsheets/d/1XWAQStnk-4SwqDmLtmXYiTMKHgktTP8We1SCoS47DrQ/edit?usp=sharing"",""จัดที่ดิน!AZ84"")"),0)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50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9400</v>
      </c>
      <c r="M655" s="1020">
        <f t="shared" ca="1" si="273"/>
        <v>9400</v>
      </c>
      <c r="N655" s="1020">
        <f t="shared" si="273"/>
        <v>7020</v>
      </c>
      <c r="O655" s="1020">
        <f t="shared" ref="O655:O660" ca="1" si="274">IF(L655&gt;0,N655*100/L655,0)</f>
        <v>74.680851063829792</v>
      </c>
      <c r="P655" s="1020">
        <f t="shared" ref="P655:P660" ca="1" si="275">IF(M655&gt;0,N655*100/M655,0)</f>
        <v>74.680851063829792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9400</v>
      </c>
      <c r="M657" s="887">
        <f t="shared" ca="1" si="276"/>
        <v>9400</v>
      </c>
      <c r="N657" s="887">
        <f t="shared" si="276"/>
        <v>7020</v>
      </c>
      <c r="O657" s="887">
        <f t="shared" ca="1" si="274"/>
        <v>74.680851063829792</v>
      </c>
      <c r="P657" s="887">
        <f t="shared" ca="1" si="275"/>
        <v>74.680851063829792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9400</v>
      </c>
      <c r="M658" s="881">
        <f t="shared" ca="1" si="277"/>
        <v>9400</v>
      </c>
      <c r="N658" s="881">
        <f t="shared" si="277"/>
        <v>7020</v>
      </c>
      <c r="O658" s="881">
        <f t="shared" ca="1" si="274"/>
        <v>74.680851063829792</v>
      </c>
      <c r="P658" s="881">
        <f t="shared" ca="1" si="275"/>
        <v>74.680851063829792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IFERROR(__xludf.DUMMYFUNCTION("IMPORTRANGE(""https://docs.google.com/spreadsheets/d/1QqKyyYR6Q21VydFLVH3TRQUabQu_ym0Zz7PgGX0-kHA/edit?usp=sharing"",""แผน!HV84"")"),9400)</f>
        <v>9400</v>
      </c>
      <c r="M660" s="887">
        <f ca="1">L660</f>
        <v>9400</v>
      </c>
      <c r="N660" s="887">
        <f>N661+N662+N663+N664</f>
        <v>7020</v>
      </c>
      <c r="O660" s="887">
        <f t="shared" ca="1" si="274"/>
        <v>74.680851063829792</v>
      </c>
      <c r="P660" s="887">
        <f t="shared" ca="1" si="275"/>
        <v>74.680851063829792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7020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IFERROR(__xludf.DUMMYFUNCTION("IMPORTRANGE(""https://docs.google.com/spreadsheets/d/1QqKyyYR6Q21VydFLVH3TRQUabQu_ym0Zz7PgGX0-kHA/edit?usp=sharing"",""แผน!IA84"")"),50)</f>
        <v>50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IFERROR(__xludf.DUMMYFUNCTION("IMPORTRANGE(""https://docs.google.com/spreadsheets/d/1QqKyyYR6Q21VydFLVH3TRQUabQu_ym0Zz7PgGX0-kHA/edit?usp=sharing"",""แผน!HZ84"")"),4)</f>
        <v>4</v>
      </c>
      <c r="J670" s="1012">
        <v>4</v>
      </c>
      <c r="K670" s="881">
        <f ca="1">IF(I670&gt;0,(J670*100)/I670,0)</f>
        <v>100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IFERROR(__xludf.DUMMYFUNCTION("IMPORTRANGE(""https://docs.google.com/spreadsheets/d/1QqKyyYR6Q21VydFLVH3TRQUabQu_ym0Zz7PgGX0-kHA/edit?usp=sharing"",""แผน!HZ84"")"),4)</f>
        <v>4</v>
      </c>
      <c r="J671" s="1012">
        <v>4</v>
      </c>
      <c r="K671" s="881">
        <f ca="1">IF(I$671&gt;0,J671*100/I$671,0)</f>
        <v>100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202</v>
      </c>
      <c r="K672" s="881">
        <f t="shared" ref="K672:K675" ca="1" si="281">IF(I$669&gt;0,J672*100/I$669,0)</f>
        <v>404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IFERROR(__xludf.DUMMYFUNCTION("IMPORTRANGE(""https://docs.google.com/spreadsheets/d/1QqKyyYR6Q21VydFLVH3TRQUabQu_ym0Zz7PgGX0-kHA/edit?usp=sharing"",""แผน!IB84"")"),0)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IFERROR(__xludf.DUMMYFUNCTION("IMPORTRANGE(""https://docs.google.com/spreadsheets/d/1QqKyyYR6Q21VydFLVH3TRQUabQu_ym0Zz7PgGX0-kHA/edit?usp=sharing"",""แผน!HW84"")"),0)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IFERROR(__xludf.DUMMYFUNCTION("IMPORTRANGE(""https://docs.google.com/spreadsheets/d/1QqKyyYR6Q21VydFLVH3TRQUabQu_ym0Zz7PgGX0-kHA/edit?usp=sharing"",""แผน!IC84"")"),0)</f>
        <v>0</v>
      </c>
      <c r="J699" s="880">
        <f ca="1">IFERROR(__xludf.DUMMYFUNCTION("IMPORTRANGE(""https://docs.google.com/spreadsheets/d/1XWAQStnk-4SwqDmLtmXYiTMKHgktTP8We1SCoS47DrQ/edit?usp=sharing"",""จัดที่ดิน!BB84"")"),0)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IFERROR(__xludf.DUMMYFUNCTION("IMPORTRANGE(""https://docs.google.com/spreadsheets/d/1QqKyyYR6Q21VydFLVH3TRQUabQu_ym0Zz7PgGX0-kHA/edit?usp=sharing"",""แผน!ID84"")"),0)</f>
        <v>0</v>
      </c>
      <c r="J700" s="880">
        <f ca="1">IFERROR(__xludf.DUMMYFUNCTION("IMPORTRANGE(""https://docs.google.com/spreadsheets/d/1XWAQStnk-4SwqDmLtmXYiTMKHgktTP8We1SCoS47DrQ/edit?usp=sharing"",""จัดที่ดิน!BD84"")"),0)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IFERROR(__xludf.DUMMYFUNCTION("IMPORTRANGE(""https://docs.google.com/spreadsheets/d/1QqKyyYR6Q21VydFLVH3TRQUabQu_ym0Zz7PgGX0-kHA/edit?usp=sharing"",""แผน!IE84"")"),0)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IFERROR(__xludf.DUMMYFUNCTION("IMPORTRANGE(""https://docs.google.com/spreadsheets/d/1QqKyyYR6Q21VydFLVH3TRQUabQu_ym0Zz7PgGX0-kHA/edit?usp=sharing"",""แผน!IF84"")"),0)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IFERROR(__xludf.DUMMYFUNCTION("IMPORTRANGE(""https://docs.google.com/spreadsheets/d/1QqKyyYR6Q21VydFLVH3TRQUabQu_ym0Zz7PgGX0-kHA/edit?usp=sharing"",""แผน!IG84"")"),0)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IFERROR(__xludf.DUMMYFUNCTION("IMPORTRANGE(""https://docs.google.com/spreadsheets/d/1QqKyyYR6Q21VydFLVH3TRQUabQu_ym0Zz7PgGX0-kHA/edit?usp=sharing"",""แผน!IH84"")"),0)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IFERROR(__xludf.DUMMYFUNCTION("IMPORTRANGE(""https://docs.google.com/spreadsheets/d/1XWAQStnk-4SwqDmLtmXYiTMKHgktTP8We1SCoS47DrQ/edit?usp=sharing"",""จัดที่ดิน!BF84"")"),0)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IFERROR(__xludf.DUMMYFUNCTION("IMPORTRANGE(""https://docs.google.com/spreadsheets/d/1XWAQStnk-4SwqDmLtmXYiTMKHgktTP8We1SCoS47DrQ/edit?usp=sharing"",""จัดที่ดิน!BG84"")"),0)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IFERROR(__xludf.DUMMYFUNCTION("IMPORTRANGE(""https://docs.google.com/spreadsheets/d/1QqKyyYR6Q21VydFLVH3TRQUabQu_ym0Zz7PgGX0-kHA/edit?usp=sharing"",""แผน!II84"")"),0)</f>
        <v>0</v>
      </c>
      <c r="J720" s="880">
        <f ca="1">IFERROR(__xludf.DUMMYFUNCTION("IMPORTRANGE(""https://docs.google.com/spreadsheets/d/1XWAQStnk-4SwqDmLtmXYiTMKHgktTP8We1SCoS47DrQ/edit?usp=sharing"",""จัดที่ดิน!BH84"")"),0)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IFERROR(__xludf.DUMMYFUNCTION("IMPORTRANGE(""https://docs.google.com/spreadsheets/d/1QqKyyYR6Q21VydFLVH3TRQUabQu_ym0Zz7PgGX0-kHA/edit?usp=sharing"",""แผน!IJ84"")"),0)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IFERROR(__xludf.DUMMYFUNCTION("IMPORTRANGE(""https://docs.google.com/spreadsheets/d/1QqKyyYR6Q21VydFLVH3TRQUabQu_ym0Zz7PgGX0-kHA/edit?usp=sharing"",""แผน!IK84"")"),0)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IFERROR(__xludf.DUMMYFUNCTION("IMPORTRANGE(""https://docs.google.com/spreadsheets/d/1QqKyyYR6Q21VydFLVH3TRQUabQu_ym0Zz7PgGX0-kHA/edit?usp=sharing"",""แผน!IL84"")"),0)</f>
        <v>0</v>
      </c>
      <c r="J723" s="880">
        <f ca="1">IFERROR(__xludf.DUMMYFUNCTION("IMPORTRANGE(""https://docs.google.com/spreadsheets/d/1XWAQStnk-4SwqDmLtmXYiTMKHgktTP8We1SCoS47DrQ/edit?usp=sharing"",""จัดที่ดิน!BM84"")"),0)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IFERROR(__xludf.DUMMYFUNCTION("IMPORTRANGE(""https://docs.google.com/spreadsheets/d/1XWAQStnk-4SwqDmLtmXYiTMKHgktTP8We1SCoS47DrQ/edit?usp=sharing"",""จัดที่ดิน!BN84"")"),0)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IFERROR(__xludf.DUMMYFUNCTION("IMPORTRANGE(""https://docs.google.com/spreadsheets/d/1QqKyyYR6Q21VydFLVH3TRQUabQu_ym0Zz7PgGX0-kHA/edit?usp=sharing"",""แผน!IM84"")"),0)</f>
        <v>0</v>
      </c>
      <c r="J725" s="880">
        <f ca="1">IFERROR(__xludf.DUMMYFUNCTION("IMPORTRANGE(""https://docs.google.com/spreadsheets/d/1XWAQStnk-4SwqDmLtmXYiTMKHgktTP8We1SCoS47DrQ/edit?usp=sharing"",""จัดที่ดิน!BO84"")"),0)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IFERROR(__xludf.DUMMYFUNCTION("IMPORTRANGE(""https://docs.google.com/spreadsheets/d/1QqKyyYR6Q21VydFLVH3TRQUabQu_ym0Zz7PgGX0-kHA/edit?usp=sharing"",""แผน!IN84"")"),0)</f>
        <v>0</v>
      </c>
      <c r="J726" s="880">
        <f ca="1">IFERROR(__xludf.DUMMYFUNCTION("IMPORTRANGE(""https://docs.google.com/spreadsheets/d/1XWAQStnk-4SwqDmLtmXYiTMKHgktTP8We1SCoS47DrQ/edit?usp=sharing"",""จัดที่ดิน!BR84"")"),0)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IFERROR(__xludf.DUMMYFUNCTION("IMPORTRANGE(""https://docs.google.com/spreadsheets/d/1XWAQStnk-4SwqDmLtmXYiTMKHgktTP8We1SCoS47DrQ/edit?usp=sharing"",""จัดที่ดิน!BS84"")"),0)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IFERROR(__xludf.DUMMYFUNCTION("IMPORTRANGE(""https://docs.google.com/spreadsheets/d/1QqKyyYR6Q21VydFLVH3TRQUabQu_ym0Zz7PgGX0-kHA/edit?usp=sharing"",""แผน!IO84"")"),0)</f>
        <v>0</v>
      </c>
      <c r="J728" s="880">
        <f ca="1">IFERROR(__xludf.DUMMYFUNCTION("IMPORTRANGE(""https://docs.google.com/spreadsheets/d/1XWAQStnk-4SwqDmLtmXYiTMKHgktTP8We1SCoS47DrQ/edit?usp=sharing"",""จัดที่ดิน!BT84"")"),0)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IFERROR(__xludf.DUMMYFUNCTION("IMPORTRANGE(""https://docs.google.com/spreadsheets/d/1QqKyyYR6Q21VydFLVH3TRQUabQu_ym0Zz7PgGX0-kHA/edit?usp=sharing"",""แผน!IP84"")"),0)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IFERROR(__xludf.DUMMYFUNCTION("IMPORTRANGE(""https://docs.google.com/spreadsheets/d/1QqKyyYR6Q21VydFLVH3TRQUabQu_ym0Zz7PgGX0-kHA/edit?usp=sharing"",""แผน!JJ84"")"),0)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IFERROR(__xludf.DUMMYFUNCTION("IMPORTRANGE(""https://docs.google.com/spreadsheets/d/1QqKyyYR6Q21VydFLVH3TRQUabQu_ym0Zz7PgGX0-kHA/edit?usp=sharing"",""แผน!JN84"")"),0)</f>
        <v>0</v>
      </c>
      <c r="J800" s="997">
        <f ca="1">IFERROR(__xludf.DUMMYFUNCTION("IMPORTRANGE(""https://docs.google.com/spreadsheets/d/1MaWodYyGHDf7siQLGxnXhG4mBNTNIuy296niS2xXulU/edit?usp=sharing"",""RTK!H84"")"),0)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IFERROR(__xludf.DUMMYFUNCTION("IMPORTRANGE(""https://docs.google.com/spreadsheets/d/1MaWodYyGHDf7siQLGxnXhG4mBNTNIuy296niS2xXulU/edit?usp=sharing"",""RTK!I84"")"),0)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>
        <v>0</v>
      </c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>
        <v>0</v>
      </c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343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880">
        <f ca="1">IFERROR(__xludf.DUMMYFUNCTION("IMPORTRANGE(""https://docs.google.com/spreadsheets/d/19vJNZY_5yjcGF2XGBMNZRCAIB0Kwfpjp8YEOfu-bneM/edit?usp=sharing"",""งานกองทุน!F84"")"),202835.34)</f>
        <v>202835.34</v>
      </c>
      <c r="K821" s="881">
        <f t="shared" ref="K821:K828" ca="1" si="335">IF(I821&gt;0,J821*100/I821,0)</f>
        <v>27.279257968845815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IFERROR(__xludf.DUMMYFUNCTION("IMPORTRANGE(""https://docs.google.com/spreadsheets/d/19vJNZY_5yjcGF2XGBMNZRCAIB0Kwfpjp8YEOfu-bneM/edit?usp=sharing"",""งานกองทุน!C84"")"),68)</f>
        <v>68</v>
      </c>
      <c r="J822" s="880">
        <f ca="1">IFERROR(__xludf.DUMMYFUNCTION("IMPORTRANGE(""https://docs.google.com/spreadsheets/d/19vJNZY_5yjcGF2XGBMNZRCAIB0Kwfpjp8YEOfu-bneM/edit?usp=sharing"",""งานกองทุน!E84"")"),22)</f>
        <v>22</v>
      </c>
      <c r="K822" s="881">
        <f t="shared" ca="1" si="335"/>
        <v>32.352941176470587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IFERROR(__xludf.DUMMYFUNCTION("IMPORTRANGE(""https://docs.google.com/spreadsheets/d/19vJNZY_5yjcGF2XGBMNZRCAIB0Kwfpjp8YEOfu-bneM/edit?usp=sharing"",""งานกองทุน!I84"")"),35881.65)</f>
        <v>35881.65</v>
      </c>
      <c r="J823" s="880">
        <f ca="1">IFERROR(__xludf.DUMMYFUNCTION("IMPORTRANGE(""https://docs.google.com/spreadsheets/d/19vJNZY_5yjcGF2XGBMNZRCAIB0Kwfpjp8YEOfu-bneM/edit?usp=sharing"",""งานกองทุน!K84"")"),6751.11)</f>
        <v>6751.11</v>
      </c>
      <c r="K823" s="881">
        <f t="shared" ca="1" si="335"/>
        <v>18.814937440167885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IFERROR(__xludf.DUMMYFUNCTION("IMPORTRANGE(""https://docs.google.com/spreadsheets/d/19vJNZY_5yjcGF2XGBMNZRCAIB0Kwfpjp8YEOfu-bneM/edit?usp=sharing"",""งานกองทุน!H84"")"),2)</f>
        <v>2</v>
      </c>
      <c r="J824" s="880">
        <f ca="1">IFERROR(__xludf.DUMMYFUNCTION("IMPORTRANGE(""https://docs.google.com/spreadsheets/d/19vJNZY_5yjcGF2XGBMNZRCAIB0Kwfpjp8YEOfu-bneM/edit?usp=sharing"",""งานกองทุน!J84"")"),1)</f>
        <v>1</v>
      </c>
      <c r="K824" s="881">
        <f t="shared" ca="1" si="335"/>
        <v>50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IFERROR(__xludf.DUMMYFUNCTION("IMPORTRANGE(""https://docs.google.com/spreadsheets/d/19vJNZY_5yjcGF2XGBMNZRCAIB0Kwfpjp8YEOfu-bneM/edit?usp=sharing"",""งานกองทุน!N84"")"),58877.9)</f>
        <v>58877.9</v>
      </c>
      <c r="J825" s="880">
        <f ca="1">IFERROR(__xludf.DUMMYFUNCTION("IMPORTRANGE(""https://docs.google.com/spreadsheets/d/19vJNZY_5yjcGF2XGBMNZRCAIB0Kwfpjp8YEOfu-bneM/edit?usp=sharing"",""งานกองทุน!P84"")"),24283.54)</f>
        <v>24283.54</v>
      </c>
      <c r="K825" s="881">
        <f t="shared" ca="1" si="335"/>
        <v>41.243896266680707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IFERROR(__xludf.DUMMYFUNCTION("IMPORTRANGE(""https://docs.google.com/spreadsheets/d/19vJNZY_5yjcGF2XGBMNZRCAIB0Kwfpjp8YEOfu-bneM/edit?usp=sharing"",""งานกองทุน!M84"")"),149)</f>
        <v>149</v>
      </c>
      <c r="J826" s="880">
        <f ca="1">IFERROR(__xludf.DUMMYFUNCTION("IMPORTRANGE(""https://docs.google.com/spreadsheets/d/19vJNZY_5yjcGF2XGBMNZRCAIB0Kwfpjp8YEOfu-bneM/edit?usp=sharing"",""งานกองทุน!O84"")"),69)</f>
        <v>69</v>
      </c>
      <c r="K826" s="881">
        <f t="shared" ca="1" si="335"/>
        <v>46.308724832214764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IFERROR(__xludf.DUMMYFUNCTION("IMPORTRANGE(""https://docs.google.com/spreadsheets/d/19vJNZY_5yjcGF2XGBMNZRCAIB0Kwfpjp8YEOfu-bneM/edit?usp=sharing"",""งานกองทุน!S84"")"),300000)</f>
        <v>300000</v>
      </c>
      <c r="J827" s="880">
        <f ca="1">IFERROR(__xludf.DUMMYFUNCTION("IMPORTRANGE(""https://docs.google.com/spreadsheets/d/19vJNZY_5yjcGF2XGBMNZRCAIB0Kwfpjp8YEOfu-bneM/edit?usp=sharing"",""งานกองทุน!U84"")"),300000)</f>
        <v>300000</v>
      </c>
      <c r="K827" s="881">
        <f t="shared" ca="1" si="335"/>
        <v>100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IFERROR(__xludf.DUMMYFUNCTION("IMPORTRANGE(""https://docs.google.com/spreadsheets/d/19vJNZY_5yjcGF2XGBMNZRCAIB0Kwfpjp8YEOfu-bneM/edit?usp=sharing"",""งานกองทุน!R84"")"),12)</f>
        <v>12</v>
      </c>
      <c r="J828" s="1138">
        <f ca="1">IFERROR(__xludf.DUMMYFUNCTION("IMPORTRANGE(""https://docs.google.com/spreadsheets/d/19vJNZY_5yjcGF2XGBMNZRCAIB0Kwfpjp8YEOfu-bneM/edit?usp=sharing"",""งานกองทุน!T84"")"),6)</f>
        <v>6</v>
      </c>
      <c r="K828" s="1239">
        <f t="shared" ca="1" si="335"/>
        <v>50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ABE2F-9CAA-47E5-9DD3-30BFDE4762F9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9" width="16.140625" style="852" bestFit="1" customWidth="1"/>
    <col min="10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352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3915568</v>
      </c>
      <c r="M8" s="867">
        <f t="shared" ca="1" si="0"/>
        <v>3472101</v>
      </c>
      <c r="N8" s="867">
        <f t="shared" ca="1" si="0"/>
        <v>1497697.75</v>
      </c>
      <c r="O8" s="867">
        <f t="shared" ref="O8:O16" ca="1" si="1">IF(L8&gt;0,N8*100/L8,0)</f>
        <v>38.249820971057076</v>
      </c>
      <c r="P8" s="867">
        <f t="shared" ref="P8:P16" ca="1" si="2">IF(M8&gt;0,N8*100/M8,0)</f>
        <v>43.135201136142065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3915568</v>
      </c>
      <c r="M10" s="874">
        <f t="shared" ca="1" si="3"/>
        <v>3472101</v>
      </c>
      <c r="N10" s="874">
        <f t="shared" ca="1" si="3"/>
        <v>1497697.75</v>
      </c>
      <c r="O10" s="874">
        <f t="shared" ca="1" si="1"/>
        <v>38.249820971057076</v>
      </c>
      <c r="P10" s="874">
        <f t="shared" ca="1" si="2"/>
        <v>43.135201136142065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3869568</v>
      </c>
      <c r="M11" s="881">
        <f t="shared" ca="1" si="4"/>
        <v>3426101</v>
      </c>
      <c r="N11" s="881">
        <f t="shared" ca="1" si="4"/>
        <v>1451697.75</v>
      </c>
      <c r="O11" s="881">
        <f t="shared" ca="1" si="1"/>
        <v>37.515757572938377</v>
      </c>
      <c r="P11" s="881">
        <f t="shared" ca="1" si="2"/>
        <v>42.371714961117611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3869568</v>
      </c>
      <c r="M13" s="887">
        <f t="shared" ca="1" si="5"/>
        <v>3426101</v>
      </c>
      <c r="N13" s="887">
        <f t="shared" ca="1" si="5"/>
        <v>1451697.75</v>
      </c>
      <c r="O13" s="887">
        <f t="shared" ca="1" si="1"/>
        <v>37.515757572938377</v>
      </c>
      <c r="P13" s="887">
        <f t="shared" ca="1" si="2"/>
        <v>42.371714961117611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46000</v>
      </c>
      <c r="M14" s="881">
        <f t="shared" ca="1" si="6"/>
        <v>46000</v>
      </c>
      <c r="N14" s="881">
        <f t="shared" ca="1" si="6"/>
        <v>46000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46000</v>
      </c>
      <c r="M16" s="893">
        <f t="shared" ca="1" si="7"/>
        <v>46000</v>
      </c>
      <c r="N16" s="893">
        <f t="shared" ca="1" si="7"/>
        <v>46000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2215590</v>
      </c>
      <c r="M18" s="867">
        <f t="shared" ca="1" si="8"/>
        <v>1772123</v>
      </c>
      <c r="N18" s="867">
        <f t="shared" ca="1" si="8"/>
        <v>1132952.8499999999</v>
      </c>
      <c r="O18" s="867">
        <f t="shared" ref="O18:O26" ca="1" si="9">IF(L18&gt;0,N18*100/L18,0)</f>
        <v>51.135492126250789</v>
      </c>
      <c r="P18" s="867">
        <f t="shared" ref="P18:P26" ca="1" si="10">IF(M18&gt;0,N18*100/M18,0)</f>
        <v>63.931953368925285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2215590</v>
      </c>
      <c r="M20" s="874">
        <f t="shared" ca="1" si="11"/>
        <v>1772123</v>
      </c>
      <c r="N20" s="874">
        <f t="shared" ca="1" si="11"/>
        <v>1132952.8499999999</v>
      </c>
      <c r="O20" s="874">
        <f t="shared" ca="1" si="9"/>
        <v>51.135492126250789</v>
      </c>
      <c r="P20" s="874">
        <f t="shared" ca="1" si="10"/>
        <v>63.931953368925285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2169590</v>
      </c>
      <c r="M21" s="881">
        <f t="shared" ca="1" si="12"/>
        <v>1726123</v>
      </c>
      <c r="N21" s="881">
        <f t="shared" ca="1" si="12"/>
        <v>1086952.8499999999</v>
      </c>
      <c r="O21" s="881">
        <f t="shared" ca="1" si="9"/>
        <v>50.099458883936592</v>
      </c>
      <c r="P21" s="881">
        <f t="shared" ca="1" si="10"/>
        <v>62.970764539954558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2169590</v>
      </c>
      <c r="M23" s="887">
        <f t="shared" ca="1" si="13"/>
        <v>1726123</v>
      </c>
      <c r="N23" s="887">
        <f t="shared" ca="1" si="13"/>
        <v>1086952.8499999999</v>
      </c>
      <c r="O23" s="887">
        <f t="shared" ca="1" si="9"/>
        <v>50.099458883936592</v>
      </c>
      <c r="P23" s="887">
        <f t="shared" ca="1" si="10"/>
        <v>62.970764539954558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46000</v>
      </c>
      <c r="M24" s="881">
        <f t="shared" ca="1" si="14"/>
        <v>46000</v>
      </c>
      <c r="N24" s="881">
        <f t="shared" ca="1" si="14"/>
        <v>46000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46000</v>
      </c>
      <c r="M26" s="893">
        <f t="shared" ca="1" si="15"/>
        <v>46000</v>
      </c>
      <c r="N26" s="893">
        <f t="shared" ca="1" si="15"/>
        <v>46000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1699978</v>
      </c>
      <c r="M28" s="867">
        <f t="shared" ca="1" si="16"/>
        <v>1699978</v>
      </c>
      <c r="N28" s="867">
        <f t="shared" si="16"/>
        <v>364744.9</v>
      </c>
      <c r="O28" s="867">
        <f t="shared" ref="O28:O37" ca="1" si="17">IF(L28&gt;0,N28*100/L28,0)</f>
        <v>21.455860017011986</v>
      </c>
      <c r="P28" s="867">
        <f t="shared" ref="P28:P37" ca="1" si="18">IF(M28&gt;0,N28*100/M28,0)</f>
        <v>21.455860017011986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1699978</v>
      </c>
      <c r="M30" s="874">
        <f t="shared" ca="1" si="19"/>
        <v>1699978</v>
      </c>
      <c r="N30" s="874">
        <f t="shared" si="19"/>
        <v>364744.9</v>
      </c>
      <c r="O30" s="874">
        <f t="shared" ca="1" si="17"/>
        <v>21.455860017011986</v>
      </c>
      <c r="P30" s="874">
        <f t="shared" ca="1" si="18"/>
        <v>21.455860017011986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1699978</v>
      </c>
      <c r="M31" s="881">
        <f t="shared" ca="1" si="20"/>
        <v>1699978</v>
      </c>
      <c r="N31" s="881">
        <f t="shared" si="20"/>
        <v>364744.9</v>
      </c>
      <c r="O31" s="881">
        <f t="shared" ca="1" si="17"/>
        <v>21.455860017011986</v>
      </c>
      <c r="P31" s="881">
        <f t="shared" ca="1" si="18"/>
        <v>21.455860017011986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1699978</v>
      </c>
      <c r="M33" s="887">
        <f t="shared" ca="1" si="21"/>
        <v>1699978</v>
      </c>
      <c r="N33" s="887">
        <f t="shared" si="21"/>
        <v>364744.9</v>
      </c>
      <c r="O33" s="887">
        <f t="shared" ca="1" si="17"/>
        <v>21.455860017011986</v>
      </c>
      <c r="P33" s="887">
        <f t="shared" ca="1" si="18"/>
        <v>21.455860017011986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2215590</v>
      </c>
      <c r="M37" s="900">
        <f t="shared" ca="1" si="24"/>
        <v>1772123</v>
      </c>
      <c r="N37" s="900">
        <f t="shared" ca="1" si="24"/>
        <v>1132952.8499999999</v>
      </c>
      <c r="O37" s="1525">
        <f t="shared" ca="1" si="17"/>
        <v>51.135492126250789</v>
      </c>
      <c r="P37" s="1526">
        <f t="shared" ca="1" si="18"/>
        <v>63.931953368925285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193600</v>
      </c>
      <c r="M41" s="926">
        <f t="shared" ca="1" si="25"/>
        <v>213398</v>
      </c>
      <c r="N41" s="926">
        <f t="shared" ca="1" si="25"/>
        <v>153994</v>
      </c>
      <c r="O41" s="926">
        <f t="shared" ref="O41:O49" ca="1" si="26">IF(L41&gt;0,N41*100/L41,0)</f>
        <v>79.542355371900825</v>
      </c>
      <c r="P41" s="926">
        <f t="shared" ref="P41:P49" ca="1" si="27">IF(M41&gt;0,N41*100/M41,0)</f>
        <v>72.162813147264728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193600</v>
      </c>
      <c r="M43" s="932">
        <f t="shared" ca="1" si="28"/>
        <v>213398</v>
      </c>
      <c r="N43" s="932">
        <f t="shared" ca="1" si="28"/>
        <v>153994</v>
      </c>
      <c r="O43" s="932">
        <f t="shared" ca="1" si="26"/>
        <v>79.542355371900825</v>
      </c>
      <c r="P43" s="932">
        <f t="shared" ca="1" si="27"/>
        <v>72.162813147264728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193600</v>
      </c>
      <c r="M44" s="881">
        <f t="shared" ca="1" si="29"/>
        <v>213398</v>
      </c>
      <c r="N44" s="881">
        <f t="shared" ca="1" si="29"/>
        <v>153994</v>
      </c>
      <c r="O44" s="881">
        <f t="shared" ca="1" si="26"/>
        <v>79.542355371900825</v>
      </c>
      <c r="P44" s="881">
        <f t="shared" ca="1" si="27"/>
        <v>72.162813147264728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IFERROR(__xludf.DUMMYFUNCTION("IMPORTRANGE(""https://docs.google.com/spreadsheets/d/1MeEWN-I1oV_STSDYn1IFDPWt_1FKiwhDph83XaGc0o0/edit?usp=sharing"",""งบพรบ!M85"")"),193600)</f>
        <v>193600</v>
      </c>
      <c r="M46" s="887">
        <f ca="1">IFERROR(__xludf.DUMMYFUNCTION("IMPORTRANGE(""https://docs.google.com/spreadsheets/d/1MeEWN-I1oV_STSDYn1IFDPWt_1FKiwhDph83XaGc0o0/edit?usp=sharing"",""งบพรบ!R85"")"),213398)</f>
        <v>213398</v>
      </c>
      <c r="N46" s="887">
        <f ca="1">IFERROR(__xludf.DUMMYFUNCTION("IMPORTRANGE(""https://docs.google.com/spreadsheets/d/1MeEWN-I1oV_STSDYn1IFDPWt_1FKiwhDph83XaGc0o0/edit?usp=sharing"",""งบพรบ!T85"")"),153994)</f>
        <v>153994</v>
      </c>
      <c r="O46" s="887">
        <f t="shared" ca="1" si="26"/>
        <v>79.542355371900825</v>
      </c>
      <c r="P46" s="887">
        <f t="shared" ca="1" si="27"/>
        <v>72.162813147264728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IFERROR(__xludf.DUMMYFUNCTION("IMPORTRANGE(""https://docs.google.com/spreadsheets/d/1MeEWN-I1oV_STSDYn1IFDPWt_1FKiwhDph83XaGc0o0/edit?usp=sharing"",""งบพรบ!P85"")"),0)</f>
        <v>0</v>
      </c>
      <c r="M49" s="893">
        <f ca="1">IFERROR(__xludf.DUMMYFUNCTION("IMPORTRANGE(""https://docs.google.com/spreadsheets/d/1MeEWN-I1oV_STSDYn1IFDPWt_1FKiwhDph83XaGc0o0/edit?usp=sharing"",""งบพรบ!S85"")"),0)</f>
        <v>0</v>
      </c>
      <c r="N49" s="893">
        <f ca="1">IFERROR(__xludf.DUMMYFUNCTION("IMPORTRANGE(""https://docs.google.com/spreadsheets/d/1MeEWN-I1oV_STSDYn1IFDPWt_1FKiwhDph83XaGc0o0/edit?usp=sharing"",""งบพรบ!U85"")"),0)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640900</v>
      </c>
      <c r="M53" s="956">
        <f t="shared" ca="1" si="31"/>
        <v>485175</v>
      </c>
      <c r="N53" s="956">
        <f t="shared" ca="1" si="31"/>
        <v>352688.49</v>
      </c>
      <c r="O53" s="956">
        <f t="shared" ref="O53:O61" ca="1" si="32">IF(L53&gt;0,N53*100/L53,0)</f>
        <v>55.030190357310033</v>
      </c>
      <c r="P53" s="956">
        <f t="shared" ref="P53:P61" ca="1" si="33">IF(M53&gt;0,N53*100/M53,0)</f>
        <v>72.693046838769519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640900</v>
      </c>
      <c r="M55" s="962">
        <f t="shared" ca="1" si="34"/>
        <v>485175</v>
      </c>
      <c r="N55" s="962">
        <f t="shared" ca="1" si="34"/>
        <v>352688.49</v>
      </c>
      <c r="O55" s="962">
        <f t="shared" ca="1" si="32"/>
        <v>55.030190357310033</v>
      </c>
      <c r="P55" s="962">
        <f t="shared" ca="1" si="33"/>
        <v>72.693046838769519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640900</v>
      </c>
      <c r="M56" s="881">
        <f t="shared" ca="1" si="35"/>
        <v>485175</v>
      </c>
      <c r="N56" s="881">
        <f t="shared" ca="1" si="35"/>
        <v>352688.49</v>
      </c>
      <c r="O56" s="881">
        <f t="shared" ca="1" si="32"/>
        <v>55.030190357310033</v>
      </c>
      <c r="P56" s="881">
        <f t="shared" ca="1" si="33"/>
        <v>72.693046838769519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IFERROR(__xludf.DUMMYFUNCTION("IMPORTRANGE(""https://docs.google.com/spreadsheets/d/1MeEWN-I1oV_STSDYn1IFDPWt_1FKiwhDph83XaGc0o0/edit?usp=sharing"",""งบพรบ!W85"")"),640900)</f>
        <v>640900</v>
      </c>
      <c r="M58" s="887">
        <f ca="1">IFERROR(__xludf.DUMMYFUNCTION("IMPORTRANGE(""https://docs.google.com/spreadsheets/d/1MeEWN-I1oV_STSDYn1IFDPWt_1FKiwhDph83XaGc0o0/edit?usp=sharing"",""งบพรบ!AB85"")"),485175)</f>
        <v>485175</v>
      </c>
      <c r="N58" s="887">
        <f ca="1">IFERROR(__xludf.DUMMYFUNCTION("IMPORTRANGE(""https://docs.google.com/spreadsheets/d/1MeEWN-I1oV_STSDYn1IFDPWt_1FKiwhDph83XaGc0o0/edit?usp=sharing"",""งบพรบ!AD85"")"),352688.49)</f>
        <v>352688.49</v>
      </c>
      <c r="O58" s="887">
        <f t="shared" ca="1" si="32"/>
        <v>55.030190357310033</v>
      </c>
      <c r="P58" s="887">
        <f t="shared" ca="1" si="33"/>
        <v>72.693046838769519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0</v>
      </c>
      <c r="M59" s="881">
        <f t="shared" ca="1" si="36"/>
        <v>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IFERROR(__xludf.DUMMYFUNCTION("IMPORTRANGE(""https://docs.google.com/spreadsheets/d/1MeEWN-I1oV_STSDYn1IFDPWt_1FKiwhDph83XaGc0o0/edit?usp=sharing"",""งบพรบ!Z85"")"),0)</f>
        <v>0</v>
      </c>
      <c r="M61" s="893">
        <f ca="1">IFERROR(__xludf.DUMMYFUNCTION("IMPORTRANGE(""https://docs.google.com/spreadsheets/d/1MeEWN-I1oV_STSDYn1IFDPWt_1FKiwhDph83XaGc0o0/edit?usp=sharing"",""งบพรบ!AC85"")"),0)</f>
        <v>0</v>
      </c>
      <c r="N61" s="893">
        <f ca="1">IFERROR(__xludf.DUMMYFUNCTION("IMPORTRANGE(""https://docs.google.com/spreadsheets/d/1MeEWN-I1oV_STSDYn1IFDPWt_1FKiwhDph83XaGc0o0/edit?usp=sharing"",""งบพรบ!AE85"")"),0)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IFERROR(__xludf.DUMMYFUNCTION("IMPORTRANGE(""https://docs.google.com/spreadsheets/d/1MeEWN-I1oV_STSDYn1IFDPWt_1FKiwhDph83XaGc0o0/edit?usp=sharing"",""งบพรบ!AG85"")"),0)</f>
        <v>0</v>
      </c>
      <c r="M71" s="887">
        <f ca="1">IFERROR(__xludf.DUMMYFUNCTION("IMPORTRANGE(""https://docs.google.com/spreadsheets/d/1MeEWN-I1oV_STSDYn1IFDPWt_1FKiwhDph83XaGc0o0/edit?usp=sharing"",""งบพรบ!AL85"")"),0)</f>
        <v>0</v>
      </c>
      <c r="N71" s="887">
        <f ca="1">IFERROR(__xludf.DUMMYFUNCTION("IMPORTRANGE(""https://docs.google.com/spreadsheets/d/1MeEWN-I1oV_STSDYn1IFDPWt_1FKiwhDph83XaGc0o0/edit?usp=sharing"",""งบพรบ!AN85"")"),0)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IFERROR(__xludf.DUMMYFUNCTION("IMPORTRANGE(""https://docs.google.com/spreadsheets/d/1MeEWN-I1oV_STSDYn1IFDPWt_1FKiwhDph83XaGc0o0/edit?usp=sharing"",""งบพรบ!AJ85"")"),0)</f>
        <v>0</v>
      </c>
      <c r="M74" s="887">
        <f ca="1">IFERROR(__xludf.DUMMYFUNCTION("IMPORTRANGE(""https://docs.google.com/spreadsheets/d/1MeEWN-I1oV_STSDYn1IFDPWt_1FKiwhDph83XaGc0o0/edit?usp=sharing"",""งบพรบ!AM85"")"),0)</f>
        <v>0</v>
      </c>
      <c r="N74" s="887">
        <f ca="1">IFERROR(__xludf.DUMMYFUNCTION("IMPORTRANGE(""https://docs.google.com/spreadsheets/d/1MeEWN-I1oV_STSDYn1IFDPWt_1FKiwhDph83XaGc0o0/edit?usp=sharing"",""งบพรบ!AO85"")"),0)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IFERROR(__xludf.DUMMYFUNCTION("IMPORTRANGE(""https://docs.google.com/spreadsheets/d/1QqKyyYR6Q21VydFLVH3TRQUabQu_ym0Zz7PgGX0-kHA/edit?usp=sharing"",""แผน!H85"")"),0)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IFERROR(__xludf.DUMMYFUNCTION("IMPORTRANGE(""https://docs.google.com/spreadsheets/d/1QqKyyYR6Q21VydFLVH3TRQUabQu_ym0Zz7PgGX0-kHA/edit?usp=sharing"",""แผน!I85"")"),0)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IFERROR(__xludf.DUMMYFUNCTION("IMPORTRANGE(""https://docs.google.com/spreadsheets/d/1QqKyyYR6Q21VydFLVH3TRQUabQu_ym0Zz7PgGX0-kHA/edit?usp=sharing"",""แผน!F85"")"),0)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IFERROR(__xludf.DUMMYFUNCTION("IMPORTRANGE(""https://docs.google.com/spreadsheets/d/1QqKyyYR6Q21VydFLVH3TRQUabQu_ym0Zz7PgGX0-kHA/edit?usp=sharing"",""แผน!G85"")"),0)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IFERROR(__xludf.DUMMYFUNCTION("IMPORTRANGE(""https://docs.google.com/spreadsheets/d/1QqKyyYR6Q21VydFLVH3TRQUabQu_ym0Zz7PgGX0-kHA/edit?usp=sharing"",""แผน!D85"")"),0)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IFERROR(__xludf.DUMMYFUNCTION("IMPORTRANGE(""https://docs.google.com/spreadsheets/d/1QqKyyYR6Q21VydFLVH3TRQUabQu_ym0Zz7PgGX0-kHA/edit?usp=sharing"",""แผน!E85"")"),0)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IFERROR(__xludf.DUMMYFUNCTION("IMPORTRANGE(""https://docs.google.com/spreadsheets/d/1QqKyyYR6Q21VydFLVH3TRQUabQu_ym0Zz7PgGX0-kHA/edit?usp=sharing"",""แผน!J85"")"),0)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30</v>
      </c>
      <c r="J86" s="982">
        <f t="shared" si="47"/>
        <v>30</v>
      </c>
      <c r="K86" s="983">
        <f t="shared" ref="K86:K87" ca="1" si="48">IF(I86&gt;0,J86*100/I86,0)</f>
        <v>100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10</v>
      </c>
      <c r="J87" s="982">
        <f t="shared" si="47"/>
        <v>10</v>
      </c>
      <c r="K87" s="983">
        <f t="shared" ca="1" si="48"/>
        <v>100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376140</v>
      </c>
      <c r="M88" s="992">
        <f t="shared" ca="1" si="49"/>
        <v>296890</v>
      </c>
      <c r="N88" s="992">
        <f t="shared" ca="1" si="49"/>
        <v>156573</v>
      </c>
      <c r="O88" s="992">
        <f t="shared" ref="O88:O96" ca="1" si="50">IF(L88&gt;0,N88*100/L88,0)</f>
        <v>41.626256181209122</v>
      </c>
      <c r="P88" s="992">
        <f t="shared" ref="P88:P96" ca="1" si="51">IF(M88&gt;0,N88*100/M88,0)</f>
        <v>52.737714304961436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376140</v>
      </c>
      <c r="M90" s="887">
        <f t="shared" ca="1" si="52"/>
        <v>296890</v>
      </c>
      <c r="N90" s="887">
        <f t="shared" ca="1" si="52"/>
        <v>156573</v>
      </c>
      <c r="O90" s="887">
        <f t="shared" ca="1" si="50"/>
        <v>41.626256181209122</v>
      </c>
      <c r="P90" s="887">
        <f t="shared" ca="1" si="51"/>
        <v>52.737714304961436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376140</v>
      </c>
      <c r="M91" s="881">
        <f t="shared" ca="1" si="53"/>
        <v>296890</v>
      </c>
      <c r="N91" s="881">
        <f t="shared" ca="1" si="53"/>
        <v>156573</v>
      </c>
      <c r="O91" s="881">
        <f t="shared" ca="1" si="50"/>
        <v>41.626256181209122</v>
      </c>
      <c r="P91" s="881">
        <f t="shared" ca="1" si="51"/>
        <v>52.737714304961436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IFERROR(__xludf.DUMMYFUNCTION("IMPORTRANGE(""https://docs.google.com/spreadsheets/d/1MeEWN-I1oV_STSDYn1IFDPWt_1FKiwhDph83XaGc0o0/edit?usp=sharing"",""งบพรบ!AQ85"")"),376140)</f>
        <v>376140</v>
      </c>
      <c r="M93" s="887">
        <f ca="1">IFERROR(__xludf.DUMMYFUNCTION("IMPORTRANGE(""https://docs.google.com/spreadsheets/d/1MeEWN-I1oV_STSDYn1IFDPWt_1FKiwhDph83XaGc0o0/edit?usp=sharing"",""งบพรบ!AV85"")"),296890)</f>
        <v>296890</v>
      </c>
      <c r="N93" s="887">
        <f ca="1">IFERROR(__xludf.DUMMYFUNCTION("IMPORTRANGE(""https://docs.google.com/spreadsheets/d/1MeEWN-I1oV_STSDYn1IFDPWt_1FKiwhDph83XaGc0o0/edit?usp=sharing"",""งบพรบ!AX85"")"),156573)</f>
        <v>156573</v>
      </c>
      <c r="O93" s="887">
        <f t="shared" ca="1" si="50"/>
        <v>41.626256181209122</v>
      </c>
      <c r="P93" s="887">
        <f t="shared" ca="1" si="51"/>
        <v>52.737714304961436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IFERROR(__xludf.DUMMYFUNCTION("IMPORTRANGE(""https://docs.google.com/spreadsheets/d/1MeEWN-I1oV_STSDYn1IFDPWt_1FKiwhDph83XaGc0o0/edit?usp=sharing"",""งบพรบ!AT85"")"),0)</f>
        <v>0</v>
      </c>
      <c r="M96" s="887">
        <f ca="1">IFERROR(__xludf.DUMMYFUNCTION("IMPORTRANGE(""https://docs.google.com/spreadsheets/d/1MeEWN-I1oV_STSDYn1IFDPWt_1FKiwhDph83XaGc0o0/edit?usp=sharing"",""งบพรบ!AW85"")"),0)</f>
        <v>0</v>
      </c>
      <c r="N96" s="887">
        <f ca="1">IFERROR(__xludf.DUMMYFUNCTION("IMPORTRANGE(""https://docs.google.com/spreadsheets/d/1MeEWN-I1oV_STSDYn1IFDPWt_1FKiwhDph83XaGc0o0/edit?usp=sharing"",""งบพรบ!AY85"")"),0)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IFERROR(__xludf.DUMMYFUNCTION("IMPORTRANGE(""https://docs.google.com/spreadsheets/d/1QqKyyYR6Q21VydFLVH3TRQUabQu_ym0Zz7PgGX0-kHA/edit?usp=sharing"",""แผน!K85"")"),30)</f>
        <v>30</v>
      </c>
      <c r="J98" s="880">
        <f>J102</f>
        <v>30</v>
      </c>
      <c r="K98" s="881">
        <f t="shared" ref="K98:K100" ca="1" si="55">IF(I98&gt;0,J98*100/I98,0)</f>
        <v>100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IFERROR(__xludf.DUMMYFUNCTION("IMPORTRANGE(""https://docs.google.com/spreadsheets/d/1QqKyyYR6Q21VydFLVH3TRQUabQu_ym0Zz7PgGX0-kHA/edit?usp=sharing"",""แผน!L85"")"),10)</f>
        <v>10</v>
      </c>
      <c r="J99" s="880">
        <f>J104</f>
        <v>10</v>
      </c>
      <c r="K99" s="881">
        <f t="shared" ca="1" si="55"/>
        <v>100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IFERROR(__xludf.DUMMYFUNCTION("IMPORTRANGE(""https://docs.google.com/spreadsheets/d/1QqKyyYR6Q21VydFLVH3TRQUabQu_ym0Zz7PgGX0-kHA/edit?usp=sharing"",""แผน!M85"")"),2)</f>
        <v>2</v>
      </c>
      <c r="J100" s="880">
        <f>J107+J110</f>
        <v>1</v>
      </c>
      <c r="K100" s="881">
        <f t="shared" ca="1" si="55"/>
        <v>50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IFERROR(__xludf.DUMMYFUNCTION("IMPORTRANGE(""https://docs.google.com/spreadsheets/d/1QqKyyYR6Q21VydFLVH3TRQUabQu_ym0Zz7PgGX0-kHA/edit?usp=sharing"",""แผน!N85"")"),30)</f>
        <v>30</v>
      </c>
      <c r="J102" s="1012">
        <v>30</v>
      </c>
      <c r="K102" s="881">
        <f t="shared" ref="K102:K104" ca="1" si="56">IF(I102&gt;0,J102*100/I102,0)</f>
        <v>100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IFERROR(__xludf.DUMMYFUNCTION("IMPORTRANGE(""https://docs.google.com/spreadsheets/d/1QqKyyYR6Q21VydFLVH3TRQUabQu_ym0Zz7PgGX0-kHA/edit?usp=sharing"",""แผน!O85"")"),10)</f>
        <v>10</v>
      </c>
      <c r="J103" s="1012">
        <v>10</v>
      </c>
      <c r="K103" s="881">
        <f t="shared" ca="1" si="56"/>
        <v>100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IFERROR(__xludf.DUMMYFUNCTION("IMPORTRANGE(""https://docs.google.com/spreadsheets/d/1QqKyyYR6Q21VydFLVH3TRQUabQu_ym0Zz7PgGX0-kHA/edit?usp=sharing"",""แผน!O85"")"),10)</f>
        <v>10</v>
      </c>
      <c r="J104" s="1012">
        <v>10</v>
      </c>
      <c r="K104" s="881">
        <f t="shared" ca="1" si="56"/>
        <v>100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IFERROR(__xludf.DUMMYFUNCTION("IMPORTRANGE(""https://docs.google.com/spreadsheets/d/1QqKyyYR6Q21VydFLVH3TRQUabQu_ym0Zz7PgGX0-kHA/edit?usp=sharing"",""แผน!P85"")"),1)</f>
        <v>1</v>
      </c>
      <c r="J106" s="1012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IFERROR(__xludf.DUMMYFUNCTION("IMPORTRANGE(""https://docs.google.com/spreadsheets/d/1QqKyyYR6Q21VydFLVH3TRQUabQu_ym0Zz7PgGX0-kHA/edit?usp=sharing"",""แผน!P85"")"),1)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IFERROR(__xludf.DUMMYFUNCTION("IMPORTRANGE(""https://docs.google.com/spreadsheets/d/1QqKyyYR6Q21VydFLVH3TRQUabQu_ym0Zz7PgGX0-kHA/edit?usp=sharing"",""แผน!Q85"")"),1)</f>
        <v>1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IFERROR(__xludf.DUMMYFUNCTION("IMPORTRANGE(""https://docs.google.com/spreadsheets/d/1QqKyyYR6Q21VydFLVH3TRQUabQu_ym0Zz7PgGX0-kHA/edit?usp=sharing"",""แผน!Q85"")"),1)</f>
        <v>1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IFERROR(__xludf.DUMMYFUNCTION("IMPORTRANGE(""https://docs.google.com/spreadsheets/d/1QqKyyYR6Q21VydFLVH3TRQUabQu_ym0Zz7PgGX0-kHA/edit?usp=sharing"",""แผน!R85"")"),10)</f>
        <v>10</v>
      </c>
      <c r="J111" s="1019">
        <f>J114</f>
        <v>10</v>
      </c>
      <c r="K111" s="1020">
        <f t="shared" ca="1" si="58"/>
        <v>100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2</v>
      </c>
      <c r="J112" s="1019">
        <f t="shared" si="59"/>
        <v>1</v>
      </c>
      <c r="K112" s="1020">
        <f t="shared" ca="1" si="58"/>
        <v>50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IFERROR(__xludf.DUMMYFUNCTION("IMPORTRANGE(""https://docs.google.com/spreadsheets/d/1QqKyyYR6Q21VydFLVH3TRQUabQu_ym0Zz7PgGX0-kHA/edit?usp=sharing"",""แผน!R85"")"),10)</f>
        <v>10</v>
      </c>
      <c r="J113" s="1012">
        <v>10</v>
      </c>
      <c r="K113" s="881">
        <f t="shared" ca="1" si="58"/>
        <v>100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IFERROR(__xludf.DUMMYFUNCTION("IMPORTRANGE(""https://docs.google.com/spreadsheets/d/1QqKyyYR6Q21VydFLVH3TRQUabQu_ym0Zz7PgGX0-kHA/edit?usp=sharing"",""แผน!R85"")"),10)</f>
        <v>10</v>
      </c>
      <c r="J114" s="1012">
        <v>10</v>
      </c>
      <c r="K114" s="881">
        <f t="shared" ca="1" si="58"/>
        <v>100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IFERROR(__xludf.DUMMYFUNCTION("IMPORTRANGE(""https://docs.google.com/spreadsheets/d/1QqKyyYR6Q21VydFLVH3TRQUabQu_ym0Zz7PgGX0-kHA/edit?usp=sharing"",""แผน!S85"")"),1)</f>
        <v>1</v>
      </c>
      <c r="J115" s="1012">
        <v>1</v>
      </c>
      <c r="K115" s="881">
        <f t="shared" ca="1" si="58"/>
        <v>100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IFERROR(__xludf.DUMMYFUNCTION("IMPORTRANGE(""https://docs.google.com/spreadsheets/d/1QqKyyYR6Q21VydFLVH3TRQUabQu_ym0Zz7PgGX0-kHA/edit?usp=sharing"",""แผน!T85"")"),1)</f>
        <v>1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>
        <v>0</v>
      </c>
      <c r="J118" s="1027">
        <v>0</v>
      </c>
      <c r="K118" s="984">
        <v>0</v>
      </c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IFERROR(__xludf.DUMMYFUNCTION("IMPORTRANGE(""https://docs.google.com/spreadsheets/d/1MeEWN-I1oV_STSDYn1IFDPWt_1FKiwhDph83XaGc0o0/edit?usp=sharing"",""งบพรบ!BA85"")"),0)</f>
        <v>0</v>
      </c>
      <c r="M124" s="887">
        <f ca="1">IFERROR(__xludf.DUMMYFUNCTION("IMPORTRANGE(""https://docs.google.com/spreadsheets/d/1MeEWN-I1oV_STSDYn1IFDPWt_1FKiwhDph83XaGc0o0/edit?usp=sharing"",""งบพรบ!BF85"")"),0)</f>
        <v>0</v>
      </c>
      <c r="N124" s="887">
        <f ca="1">IFERROR(__xludf.DUMMYFUNCTION("IMPORTRANGE(""https://docs.google.com/spreadsheets/d/1MeEWN-I1oV_STSDYn1IFDPWt_1FKiwhDph83XaGc0o0/edit?usp=sharing"",""งบพรบ!BH85"")"),0)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IFERROR(__xludf.DUMMYFUNCTION("IMPORTRANGE(""https://docs.google.com/spreadsheets/d/1MeEWN-I1oV_STSDYn1IFDPWt_1FKiwhDph83XaGc0o0/edit?usp=sharing"",""งบพรบ!BD85"")"),0)</f>
        <v>0</v>
      </c>
      <c r="M127" s="887">
        <f ca="1">IFERROR(__xludf.DUMMYFUNCTION("IMPORTRANGE(""https://docs.google.com/spreadsheets/d/1MeEWN-I1oV_STSDYn1IFDPWt_1FKiwhDph83XaGc0o0/edit?usp=sharing"",""งบพรบ!BG85"")"),0)</f>
        <v>0</v>
      </c>
      <c r="N127" s="887">
        <f ca="1">IFERROR(__xludf.DUMMYFUNCTION("IMPORTRANGE(""https://docs.google.com/spreadsheets/d/1MeEWN-I1oV_STSDYn1IFDPWt_1FKiwhDph83XaGc0o0/edit?usp=sharing"",""งบพรบ!BI85"")"),0)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IFERROR(__xludf.DUMMYFUNCTION("IMPORTRANGE(""https://docs.google.com/spreadsheets/d/1MeEWN-I1oV_STSDYn1IFDPWt_1FKiwhDph83XaGc0o0/edit?usp=sharing"",""งบพรบ!BK85"")"),0)</f>
        <v>0</v>
      </c>
      <c r="M137" s="887">
        <f ca="1">IFERROR(__xludf.DUMMYFUNCTION("IMPORTRANGE(""https://docs.google.com/spreadsheets/d/1MeEWN-I1oV_STSDYn1IFDPWt_1FKiwhDph83XaGc0o0/edit?usp=sharing"",""งบพรบ!BP85"")"),0)</f>
        <v>0</v>
      </c>
      <c r="N137" s="887">
        <f ca="1">IFERROR(__xludf.DUMMYFUNCTION("IMPORTRANGE(""https://docs.google.com/spreadsheets/d/1MeEWN-I1oV_STSDYn1IFDPWt_1FKiwhDph83XaGc0o0/edit?usp=sharing"",""งบพรบ!BR85"")"),0)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IFERROR(__xludf.DUMMYFUNCTION("IMPORTRANGE(""https://docs.google.com/spreadsheets/d/1MeEWN-I1oV_STSDYn1IFDPWt_1FKiwhDph83XaGc0o0/edit?usp=sharing"",""งบพรบ!BN85"")"),0)</f>
        <v>0</v>
      </c>
      <c r="M140" s="887">
        <f ca="1">IFERROR(__xludf.DUMMYFUNCTION("IMPORTRANGE(""https://docs.google.com/spreadsheets/d/1MeEWN-I1oV_STSDYn1IFDPWt_1FKiwhDph83XaGc0o0/edit?usp=sharing"",""งบพรบ!BQ85"")"),0)</f>
        <v>0</v>
      </c>
      <c r="N140" s="887">
        <f ca="1">IFERROR(__xludf.DUMMYFUNCTION("IMPORTRANGE(""https://docs.google.com/spreadsheets/d/1MeEWN-I1oV_STSDYn1IFDPWt_1FKiwhDph83XaGc0o0/edit?usp=sharing"",""งบพรบ!BS85"")"),0)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IFERROR(__xludf.DUMMYFUNCTION("IMPORTRANGE(""https://docs.google.com/spreadsheets/d/1QqKyyYR6Q21VydFLVH3TRQUabQu_ym0Zz7PgGX0-kHA/edit?usp=sharing"",""แผน!U85"")"),0)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IFERROR(__xludf.DUMMYFUNCTION("IMPORTRANGE(""https://docs.google.com/spreadsheets/d/1QqKyyYR6Q21VydFLVH3TRQUabQu_ym0Zz7PgGX0-kHA/edit?usp=sharing"",""แผน!V85"")"),0)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IFERROR(__xludf.DUMMYFUNCTION("IMPORTRANGE(""https://docs.google.com/spreadsheets/d/1QqKyyYR6Q21VydFLVH3TRQUabQu_ym0Zz7PgGX0-kHA/edit?usp=sharing"",""แผน!W85"")"),0)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IFERROR(__xludf.DUMMYFUNCTION("IMPORTRANGE(""https://docs.google.com/spreadsheets/d/1MeEWN-I1oV_STSDYn1IFDPWt_1FKiwhDph83XaGc0o0/edit?usp=sharing"",""งบพรบ!BU85"")"),0)</f>
        <v>0</v>
      </c>
      <c r="M154" s="887">
        <f ca="1">IFERROR(__xludf.DUMMYFUNCTION("IMPORTRANGE(""https://docs.google.com/spreadsheets/d/1MeEWN-I1oV_STSDYn1IFDPWt_1FKiwhDph83XaGc0o0/edit?usp=sharing"",""งบพรบ!BZ85"")"),0)</f>
        <v>0</v>
      </c>
      <c r="N154" s="887">
        <f ca="1">IFERROR(__xludf.DUMMYFUNCTION("IMPORTRANGE(""https://docs.google.com/spreadsheets/d/1MeEWN-I1oV_STSDYn1IFDPWt_1FKiwhDph83XaGc0o0/edit?usp=sharing"",""งบพรบ!CB85"")"),0)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IFERROR(__xludf.DUMMYFUNCTION("IMPORTRANGE(""https://docs.google.com/spreadsheets/d/1MeEWN-I1oV_STSDYn1IFDPWt_1FKiwhDph83XaGc0o0/edit?usp=sharing"",""งบพรบ!BX85"")"),0)</f>
        <v>0</v>
      </c>
      <c r="M157" s="887">
        <f ca="1">IFERROR(__xludf.DUMMYFUNCTION("IMPORTRANGE(""https://docs.google.com/spreadsheets/d/1MeEWN-I1oV_STSDYn1IFDPWt_1FKiwhDph83XaGc0o0/edit?usp=sharing"",""งบพรบ!CA85"")"),0)</f>
        <v>0</v>
      </c>
      <c r="N157" s="887">
        <f ca="1">IFERROR(__xludf.DUMMYFUNCTION("IMPORTRANGE(""https://docs.google.com/spreadsheets/d/1MeEWN-I1oV_STSDYn1IFDPWt_1FKiwhDph83XaGc0o0/edit?usp=sharing"",""งบพรบ!CC85"")"),0)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IFERROR(__xludf.DUMMYFUNCTION("IMPORTRANGE(""https://docs.google.com/spreadsheets/d/1QqKyyYR6Q21VydFLVH3TRQUabQu_ym0Zz7PgGX0-kHA/edit?usp=sharing"",""แผน!X85"")"),0)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10</v>
      </c>
      <c r="J164" s="1075">
        <f t="shared" si="83"/>
        <v>10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21050</v>
      </c>
      <c r="M165" s="992">
        <f t="shared" ca="1" si="84"/>
        <v>36610</v>
      </c>
      <c r="N165" s="992">
        <f t="shared" ca="1" si="84"/>
        <v>33569</v>
      </c>
      <c r="O165" s="992">
        <f t="shared" ref="O165:O173" ca="1" si="85">IF(L165&gt;0,N165*100/L165,0)</f>
        <v>159.47268408551068</v>
      </c>
      <c r="P165" s="992">
        <f t="shared" ref="P165:P173" ca="1" si="86">IF(M165&gt;0,N165*100/M165,0)</f>
        <v>91.693526358918334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21050</v>
      </c>
      <c r="M167" s="887">
        <f t="shared" ca="1" si="87"/>
        <v>36610</v>
      </c>
      <c r="N167" s="887">
        <f t="shared" ca="1" si="87"/>
        <v>33569</v>
      </c>
      <c r="O167" s="887">
        <f t="shared" ca="1" si="85"/>
        <v>159.47268408551068</v>
      </c>
      <c r="P167" s="887">
        <f t="shared" ca="1" si="86"/>
        <v>91.693526358918334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21050</v>
      </c>
      <c r="M168" s="881">
        <f t="shared" ca="1" si="88"/>
        <v>36610</v>
      </c>
      <c r="N168" s="881">
        <f t="shared" ca="1" si="88"/>
        <v>33569</v>
      </c>
      <c r="O168" s="881">
        <f t="shared" ca="1" si="85"/>
        <v>159.47268408551068</v>
      </c>
      <c r="P168" s="881">
        <f t="shared" ca="1" si="86"/>
        <v>91.693526358918334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IFERROR(__xludf.DUMMYFUNCTION("IMPORTRANGE(""https://docs.google.com/spreadsheets/d/1MeEWN-I1oV_STSDYn1IFDPWt_1FKiwhDph83XaGc0o0/edit?usp=sharing"",""งบพรบ!CE85"")"),21050)</f>
        <v>21050</v>
      </c>
      <c r="M170" s="887">
        <f ca="1">IFERROR(__xludf.DUMMYFUNCTION("IMPORTRANGE(""https://docs.google.com/spreadsheets/d/1MeEWN-I1oV_STSDYn1IFDPWt_1FKiwhDph83XaGc0o0/edit?usp=sharing"",""งบพรบ!CJ85"")"),36610)</f>
        <v>36610</v>
      </c>
      <c r="N170" s="887">
        <f ca="1">IFERROR(__xludf.DUMMYFUNCTION("IMPORTRANGE(""https://docs.google.com/spreadsheets/d/1MeEWN-I1oV_STSDYn1IFDPWt_1FKiwhDph83XaGc0o0/edit?usp=sharing"",""งบพรบ!CL85"")"),33569)</f>
        <v>33569</v>
      </c>
      <c r="O170" s="887">
        <f t="shared" ca="1" si="85"/>
        <v>159.47268408551068</v>
      </c>
      <c r="P170" s="887">
        <f t="shared" ca="1" si="86"/>
        <v>91.693526358918334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IFERROR(__xludf.DUMMYFUNCTION("IMPORTRANGE(""https://docs.google.com/spreadsheets/d/1MeEWN-I1oV_STSDYn1IFDPWt_1FKiwhDph83XaGc0o0/edit?usp=sharing"",""งบพรบ!CH85"")"),0)</f>
        <v>0</v>
      </c>
      <c r="M173" s="887">
        <f ca="1">IFERROR(__xludf.DUMMYFUNCTION("IMPORTRANGE(""https://docs.google.com/spreadsheets/d/1MeEWN-I1oV_STSDYn1IFDPWt_1FKiwhDph83XaGc0o0/edit?usp=sharing"",""งบพรบ!CK85"")"),0)</f>
        <v>0</v>
      </c>
      <c r="N173" s="887">
        <f ca="1">IFERROR(__xludf.DUMMYFUNCTION("IMPORTRANGE(""https://docs.google.com/spreadsheets/d/1MeEWN-I1oV_STSDYn1IFDPWt_1FKiwhDph83XaGc0o0/edit?usp=sharing"",""งบพรบ!CM85"")"),0)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10</v>
      </c>
      <c r="J174" s="1067">
        <f t="shared" si="90"/>
        <v>10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IFERROR(__xludf.DUMMYFUNCTION("IMPORTRANGE(""https://docs.google.com/spreadsheets/d/1QqKyyYR6Q21VydFLVH3TRQUabQu_ym0Zz7PgGX0-kHA/edit?usp=sharing"",""แผน!Y85"")"),10)</f>
        <v>10</v>
      </c>
      <c r="J176" s="1012">
        <v>10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182100</v>
      </c>
      <c r="M181" s="992">
        <f t="shared" ca="1" si="92"/>
        <v>137500</v>
      </c>
      <c r="N181" s="992">
        <f t="shared" ca="1" si="92"/>
        <v>44732</v>
      </c>
      <c r="O181" s="992">
        <f t="shared" ref="O181:O189" ca="1" si="93">IF(L181&gt;0,N181*100/L181,0)</f>
        <v>24.56452498627128</v>
      </c>
      <c r="P181" s="992">
        <f t="shared" ref="P181:P189" ca="1" si="94">IF(M181&gt;0,N181*100/M181,0)</f>
        <v>32.532363636363634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182100</v>
      </c>
      <c r="M183" s="887">
        <f t="shared" ca="1" si="95"/>
        <v>137500</v>
      </c>
      <c r="N183" s="887">
        <f t="shared" ca="1" si="95"/>
        <v>44732</v>
      </c>
      <c r="O183" s="887">
        <f t="shared" ca="1" si="93"/>
        <v>24.56452498627128</v>
      </c>
      <c r="P183" s="887">
        <f t="shared" ca="1" si="94"/>
        <v>32.532363636363634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182100</v>
      </c>
      <c r="M184" s="881">
        <f t="shared" ca="1" si="96"/>
        <v>137500</v>
      </c>
      <c r="N184" s="881">
        <f t="shared" ca="1" si="96"/>
        <v>44732</v>
      </c>
      <c r="O184" s="881">
        <f t="shared" ca="1" si="93"/>
        <v>24.56452498627128</v>
      </c>
      <c r="P184" s="881">
        <f t="shared" ca="1" si="94"/>
        <v>32.532363636363634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IFERROR(__xludf.DUMMYFUNCTION("IMPORTRANGE(""https://docs.google.com/spreadsheets/d/1MeEWN-I1oV_STSDYn1IFDPWt_1FKiwhDph83XaGc0o0/edit?usp=sharing"",""งบพรบ!CO85"")"),182100)</f>
        <v>182100</v>
      </c>
      <c r="M186" s="887">
        <f ca="1">IFERROR(__xludf.DUMMYFUNCTION("IMPORTRANGE(""https://docs.google.com/spreadsheets/d/1MeEWN-I1oV_STSDYn1IFDPWt_1FKiwhDph83XaGc0o0/edit?usp=sharing"",""งบพรบ!CT85"")"),137500)</f>
        <v>137500</v>
      </c>
      <c r="N186" s="887">
        <f ca="1">IFERROR(__xludf.DUMMYFUNCTION("IMPORTRANGE(""https://docs.google.com/spreadsheets/d/1MeEWN-I1oV_STSDYn1IFDPWt_1FKiwhDph83XaGc0o0/edit?usp=sharing"",""งบพรบ!CV85"")"),44732)</f>
        <v>44732</v>
      </c>
      <c r="O186" s="887">
        <f t="shared" ca="1" si="93"/>
        <v>24.56452498627128</v>
      </c>
      <c r="P186" s="887">
        <f t="shared" ca="1" si="94"/>
        <v>32.532363636363634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IFERROR(__xludf.DUMMYFUNCTION("IMPORTRANGE(""https://docs.google.com/spreadsheets/d/1MeEWN-I1oV_STSDYn1IFDPWt_1FKiwhDph83XaGc0o0/edit?usp=sharing"",""งบพรบ!CR85"")"),0)</f>
        <v>0</v>
      </c>
      <c r="M189" s="887">
        <f ca="1">IFERROR(__xludf.DUMMYFUNCTION("IMPORTRANGE(""https://docs.google.com/spreadsheets/d/1MeEWN-I1oV_STSDYn1IFDPWt_1FKiwhDph83XaGc0o0/edit?usp=sharing"",""งบพรบ!CU85"")"),0)</f>
        <v>0</v>
      </c>
      <c r="N189" s="887">
        <f ca="1">IFERROR(__xludf.DUMMYFUNCTION("IMPORTRANGE(""https://docs.google.com/spreadsheets/d/1MeEWN-I1oV_STSDYn1IFDPWt_1FKiwhDph83XaGc0o0/edit?usp=sharing"",""งบพรบ!CW85"")"),0)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IFERROR(__xludf.DUMMYFUNCTION("IMPORTRANGE(""https://docs.google.com/spreadsheets/d/1QqKyyYR6Q21VydFLVH3TRQUabQu_ym0Zz7PgGX0-kHA/edit?usp=sharing"",""แผน!Z85"")"),6000)</f>
        <v>6000</v>
      </c>
      <c r="M191" s="992"/>
      <c r="N191" s="1081">
        <v>3000</v>
      </c>
      <c r="O191" s="992">
        <f ca="1">IF(L191&gt;0,N191*100/L191,0)</f>
        <v>50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IFERROR(__xludf.DUMMYFUNCTION("IMPORTRANGE(""https://docs.google.com/spreadsheets/d/1QqKyyYR6Q21VydFLVH3TRQUabQu_ym0Zz7PgGX0-kHA/edit?usp=sharing"",""แผน!AC85"")"),4)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85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85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2</v>
      </c>
      <c r="J197" s="1078">
        <f t="shared" si="99"/>
        <v>2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26000</v>
      </c>
      <c r="M198" s="992"/>
      <c r="N198" s="992">
        <f>N199+N200+N201+N202</f>
        <v>15535</v>
      </c>
      <c r="O198" s="992">
        <f ca="1">IF(L198&gt;0,N198*100/L198,0)</f>
        <v>59.75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IFERROR(__xludf.DUMMYFUNCTION("IMPORTRANGE(""https://docs.google.com/spreadsheets/d/1QqKyyYR6Q21VydFLVH3TRQUabQu_ym0Zz7PgGX0-kHA/edit?usp=sharing"",""แผน!AE85"")"),2000)</f>
        <v>2000</v>
      </c>
      <c r="M199" s="881"/>
      <c r="N199" s="1085">
        <v>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IFERROR(__xludf.DUMMYFUNCTION("IMPORTRANGE(""https://docs.google.com/spreadsheets/d/1QqKyyYR6Q21VydFLVH3TRQUabQu_ym0Zz7PgGX0-kHA/edit?usp=sharing"",""แผน!AF85"")"),16000)</f>
        <v>16000</v>
      </c>
      <c r="M200" s="881"/>
      <c r="N200" s="1085">
        <v>15535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IFERROR(__xludf.DUMMYFUNCTION("IMPORTRANGE(""https://docs.google.com/spreadsheets/d/1QqKyyYR6Q21VydFLVH3TRQUabQu_ym0Zz7PgGX0-kHA/edit?usp=sharing"",""แผน!AG85"")"),8000)</f>
        <v>8000</v>
      </c>
      <c r="M201" s="881"/>
      <c r="N201" s="1085">
        <v>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IFERROR(__xludf.DUMMYFUNCTION("IMPORTRANGE(""https://docs.google.com/spreadsheets/d/1QqKyyYR6Q21VydFLVH3TRQUabQu_ym0Zz7PgGX0-kHA/edit?usp=sharing"",""แผน!AH85"")"),0)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IFERROR(__xludf.DUMMYFUNCTION("IMPORTRANGE(""https://docs.google.com/spreadsheets/d/1QqKyyYR6Q21VydFLVH3TRQUabQu_ym0Zz7PgGX0-kHA/edit?usp=sharing"",""แผน!AI85"")"),2)</f>
        <v>2</v>
      </c>
      <c r="J204" s="1012">
        <v>2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2</v>
      </c>
      <c r="J206" s="1012">
        <v>0</v>
      </c>
      <c r="K206" s="998">
        <f t="shared" ref="K206:K208" si="100">IF(I206&gt;0,J206*100/I206,0)</f>
        <v>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IFERROR(__xludf.DUMMYFUNCTION("IMPORTRANGE(""https://docs.google.com/spreadsheets/d/1QqKyyYR6Q21VydFLVH3TRQUabQu_ym0Zz7PgGX0-kHA/edit?usp=sharing"",""แผน!AK85"")"),0)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IFERROR(__xludf.DUMMYFUNCTION("IMPORTRANGE(""https://docs.google.com/spreadsheets/d/1QqKyyYR6Q21VydFLVH3TRQUabQu_ym0Zz7PgGX0-kHA/edit?usp=sharing"",""แผน!AL85"")"),0)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IFERROR(__xludf.DUMMYFUNCTION("IMPORTRANGE(""https://docs.google.com/spreadsheets/d/1QqKyyYR6Q21VydFLVH3TRQUabQu_ym0Zz7PgGX0-kHA/edit?usp=sharing"",""แผน!AM85"")"),0)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IFERROR(__xludf.DUMMYFUNCTION("IMPORTRANGE(""https://docs.google.com/spreadsheets/d/1QqKyyYR6Q21VydFLVH3TRQUabQu_ym0Zz7PgGX0-kHA/edit?usp=sharing"",""แผน!AN85"")"),0)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IFERROR(__xludf.DUMMYFUNCTION("IMPORTRANGE(""https://docs.google.com/spreadsheets/d/1QqKyyYR6Q21VydFLVH3TRQUabQu_ym0Zz7PgGX0-kHA/edit?usp=sharing"",""แผน!AN85"")"),0)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12800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7100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IFERROR(__xludf.DUMMYFUNCTION("IMPORTRANGE(""https://docs.google.com/spreadsheets/d/1QqKyyYR6Q21VydFLVH3TRQUabQu_ym0Zz7PgGX0-kHA/edit?usp=sharing"",""แผน!AP85"")"),3000)</f>
        <v>3000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IFERROR(__xludf.DUMMYFUNCTION("IMPORTRANGE(""https://docs.google.com/spreadsheets/d/1QqKyyYR6Q21VydFLVH3TRQUabQu_ym0Zz7PgGX0-kHA/edit?usp=sharing"",""แผน!AQ85"")"),4100)</f>
        <v>4100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IFERROR(__xludf.DUMMYFUNCTION("IMPORTRANGE(""https://docs.google.com/spreadsheets/d/1QqKyyYR6Q21VydFLVH3TRQUabQu_ym0Zz7PgGX0-kHA/edit?usp=sharing"",""แผน!AR85"")"),0)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IFERROR(__xludf.DUMMYFUNCTION("IMPORTRANGE(""https://docs.google.com/spreadsheets/d/1QqKyyYR6Q21VydFLVH3TRQUabQu_ym0Zz7PgGX0-kHA/edit?usp=sharing"",""แผน!AT85"")"),12800)</f>
        <v>12800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IFERROR(__xludf.DUMMYFUNCTION("IMPORTRANGE(""https://docs.google.com/spreadsheets/d/1QqKyyYR6Q21VydFLVH3TRQUabQu_ym0Zz7PgGX0-kHA/edit?usp=sharing"",""แผน!AT85"")"),12800)</f>
        <v>12800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IFERROR(__xludf.DUMMYFUNCTION("IMPORTRANGE(""https://docs.google.com/spreadsheets/d/1QqKyyYR6Q21VydFLVH3TRQUabQu_ym0Zz7PgGX0-kHA/edit?usp=sharing"",""แผน!AS85"")"),0)</f>
        <v>0</v>
      </c>
      <c r="J225" s="1012">
        <v>0</v>
      </c>
      <c r="K225" s="998">
        <f t="shared" ca="1" si="104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IFERROR(__xludf.DUMMYFUNCTION("IMPORTRANGE(""https://docs.google.com/spreadsheets/d/1QqKyyYR6Q21VydFLVH3TRQUabQu_ym0Zz7PgGX0-kHA/edit?usp=sharing"",""แผน!AV85"")"),0)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IFERROR(__xludf.DUMMYFUNCTION("IMPORTRANGE(""https://docs.google.com/spreadsheets/d/1QqKyyYR6Q21VydFLVH3TRQUabQu_ym0Zz7PgGX0-kHA/edit?usp=sharing"",""แผน!AW85"")"),0)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IFERROR(__xludf.DUMMYFUNCTION("IMPORTRANGE(""https://docs.google.com/spreadsheets/d/1QqKyyYR6Q21VydFLVH3TRQUabQu_ym0Zz7PgGX0-kHA/edit?usp=sharing"",""แผน!AX85"")"),0)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IFERROR(__xludf.DUMMYFUNCTION("IMPORTRANGE(""https://docs.google.com/spreadsheets/d/1QqKyyYR6Q21VydFLVH3TRQUabQu_ym0Zz7PgGX0-kHA/edit?usp=sharing"",""แผน!AY85"")"),0)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IFERROR(__xludf.DUMMYFUNCTION("IMPORTRANGE(""https://docs.google.com/spreadsheets/d/1QqKyyYR6Q21VydFLVH3TRQUabQu_ym0Zz7PgGX0-kHA/edit?usp=sharing"",""แผน!BE85"")"),0)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IFERROR(__xludf.DUMMYFUNCTION("IMPORTRANGE(""https://docs.google.com/spreadsheets/d/1QqKyyYR6Q21VydFLVH3TRQUabQu_ym0Zz7PgGX0-kHA/edit?usp=sharing"",""แผน!AZ85"")"),0)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IFERROR(__xludf.DUMMYFUNCTION("IMPORTRANGE(""https://docs.google.com/spreadsheets/d/1QqKyyYR6Q21VydFLVH3TRQUabQu_ym0Zz7PgGX0-kHA/edit?usp=sharing"",""แผน!BA85"")"),0)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IFERROR(__xludf.DUMMYFUNCTION("IMPORTRANGE(""https://docs.google.com/spreadsheets/d/1QqKyyYR6Q21VydFLVH3TRQUabQu_ym0Zz7PgGX0-kHA/edit?usp=sharing"",""แผน!BB85"")"),0)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IFERROR(__xludf.DUMMYFUNCTION("IMPORTRANGE(""https://docs.google.com/spreadsheets/d/1QqKyyYR6Q21VydFLVH3TRQUabQu_ym0Zz7PgGX0-kHA/edit?usp=sharing"",""แผน!BC85"")"),0)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IFERROR(__xludf.DUMMYFUNCTION("IMPORTRANGE(""https://docs.google.com/spreadsheets/d/1QqKyyYR6Q21VydFLVH3TRQUabQu_ym0Zz7PgGX0-kHA/edit?usp=sharing"",""แผน!BF85"")"),"")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18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23100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23100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23100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IFERROR(__xludf.DUMMYFUNCTION("IMPORTRANGE(""https://docs.google.com/spreadsheets/d/1MeEWN-I1oV_STSDYn1IFDPWt_1FKiwhDph83XaGc0o0/edit?usp=sharing"",""งบพรบ!CY85"")"),23100)</f>
        <v>23100</v>
      </c>
      <c r="M266" s="887">
        <f ca="1">IFERROR(__xludf.DUMMYFUNCTION("IMPORTRANGE(""https://docs.google.com/spreadsheets/d/1MeEWN-I1oV_STSDYn1IFDPWt_1FKiwhDph83XaGc0o0/edit?usp=sharing"",""งบพรบ!DD85"")"),0)</f>
        <v>0</v>
      </c>
      <c r="N266" s="887">
        <f ca="1">IFERROR(__xludf.DUMMYFUNCTION("IMPORTRANGE(""https://docs.google.com/spreadsheets/d/1MeEWN-I1oV_STSDYn1IFDPWt_1FKiwhDph83XaGc0o0/edit?usp=sharing"",""งบพรบ!DF85"")"),0)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IFERROR(__xludf.DUMMYFUNCTION("IMPORTRANGE(""https://docs.google.com/spreadsheets/d/1MeEWN-I1oV_STSDYn1IFDPWt_1FKiwhDph83XaGc0o0/edit?usp=sharing"",""งบพรบ!DB85"")"),0)</f>
        <v>0</v>
      </c>
      <c r="M269" s="887">
        <f ca="1">IFERROR(__xludf.DUMMYFUNCTION("IMPORTRANGE(""https://docs.google.com/spreadsheets/d/1MeEWN-I1oV_STSDYn1IFDPWt_1FKiwhDph83XaGc0o0/edit?usp=sharing"",""งบพรบ!DE85"")"),0)</f>
        <v>0</v>
      </c>
      <c r="N269" s="887">
        <f ca="1">IFERROR(__xludf.DUMMYFUNCTION("IMPORTRANGE(""https://docs.google.com/spreadsheets/d/1MeEWN-I1oV_STSDYn1IFDPWt_1FKiwhDph83XaGc0o0/edit?usp=sharing"",""งบพรบ!DG85"")"),0)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IFERROR(__xludf.DUMMYFUNCTION("IMPORTRANGE(""https://docs.google.com/spreadsheets/d/1QqKyyYR6Q21VydFLVH3TRQUabQu_ym0Zz7PgGX0-kHA/edit?usp=sharing"",""แผน!EA85"")"),18)</f>
        <v>18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IFERROR(__xludf.DUMMYFUNCTION("IMPORTRANGE(""https://docs.google.com/spreadsheets/d/1MeEWN-I1oV_STSDYn1IFDPWt_1FKiwhDph83XaGc0o0/edit?usp=sharing"",""งบพรบ!DI85"")"),0)</f>
        <v>0</v>
      </c>
      <c r="M282" s="887">
        <f ca="1">IFERROR(__xludf.DUMMYFUNCTION("IMPORTRANGE(""https://docs.google.com/spreadsheets/d/1MeEWN-I1oV_STSDYn1IFDPWt_1FKiwhDph83XaGc0o0/edit?usp=sharing"",""งบพรบ!DN85"")"),0)</f>
        <v>0</v>
      </c>
      <c r="N282" s="887">
        <f ca="1">IFERROR(__xludf.DUMMYFUNCTION("IMPORTRANGE(""https://docs.google.com/spreadsheets/d/1MeEWN-I1oV_STSDYn1IFDPWt_1FKiwhDph83XaGc0o0/edit?usp=sharing"",""งบพรบ!DP85"")"),0)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IFERROR(__xludf.DUMMYFUNCTION("IMPORTRANGE(""https://docs.google.com/spreadsheets/d/1MeEWN-I1oV_STSDYn1IFDPWt_1FKiwhDph83XaGc0o0/edit?usp=sharing"",""งบพรบ!DL85"")"),0)</f>
        <v>0</v>
      </c>
      <c r="M285" s="887">
        <f ca="1">IFERROR(__xludf.DUMMYFUNCTION("IMPORTRANGE(""https://docs.google.com/spreadsheets/d/1MeEWN-I1oV_STSDYn1IFDPWt_1FKiwhDph83XaGc0o0/edit?usp=sharing"",""งบพรบ!DO85"")"),0)</f>
        <v>0</v>
      </c>
      <c r="N285" s="887">
        <f ca="1">IFERROR(__xludf.DUMMYFUNCTION("IMPORTRANGE(""https://docs.google.com/spreadsheets/d/1MeEWN-I1oV_STSDYn1IFDPWt_1FKiwhDph83XaGc0o0/edit?usp=sharing"",""งบพรบ!DQ85"")"),0)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IFERROR(__xludf.DUMMYFUNCTION("IMPORTRANGE(""https://docs.google.com/spreadsheets/d/1QqKyyYR6Q21VydFLVH3TRQUabQu_ym0Zz7PgGX0-kHA/edit?usp=sharing"",""แผน!EC85"")"),0)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IFERROR(__xludf.DUMMYFUNCTION("IMPORTRANGE(""https://docs.google.com/spreadsheets/d/1QqKyyYR6Q21VydFLVH3TRQUabQu_ym0Zz7PgGX0-kHA/edit?usp=sharing"",""แผน!EB85"")"),0)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IFERROR(__xludf.DUMMYFUNCTION("IMPORTRANGE(""https://docs.google.com/spreadsheets/d/1QqKyyYR6Q21VydFLVH3TRQUabQu_ym0Zz7PgGX0-kHA/edit?usp=sharing"",""แผน!EB85"")"),0)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IFERROR(__xludf.DUMMYFUNCTION("IMPORTRANGE(""https://docs.google.com/spreadsheets/d/1QqKyyYR6Q21VydFLVH3TRQUabQu_ym0Zz7PgGX0-kHA/edit?usp=sharing"",""แผน!EB85"")"),0)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IFERROR(__xludf.DUMMYFUNCTION("IMPORTRANGE(""https://docs.google.com/spreadsheets/d/1QqKyyYR6Q21VydFLVH3TRQUabQu_ym0Zz7PgGX0-kHA/edit?usp=sharing"",""แผน!EB85"")"),0)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IFERROR(__xludf.DUMMYFUNCTION("IMPORTRANGE(""https://docs.google.com/spreadsheets/d/1QqKyyYR6Q21VydFLVH3TRQUabQu_ym0Zz7PgGX0-kHA/edit?usp=sharing"",""แผน!EB85"")"),0)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0</v>
      </c>
      <c r="J297" s="1190">
        <f t="shared" si="134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0</v>
      </c>
      <c r="M298" s="992">
        <f t="shared" ca="1" si="135"/>
        <v>0</v>
      </c>
      <c r="N298" s="992">
        <f t="shared" ca="1" si="135"/>
        <v>0</v>
      </c>
      <c r="O298" s="992">
        <f t="shared" ref="O298:O306" ca="1" si="136">IF(L298&gt;0,N298*100/L298,0)</f>
        <v>0</v>
      </c>
      <c r="P298" s="992">
        <f t="shared" ref="P298:P306" ca="1" si="137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0</v>
      </c>
      <c r="M300" s="887">
        <f t="shared" ca="1" si="138"/>
        <v>0</v>
      </c>
      <c r="N300" s="887">
        <f t="shared" ca="1" si="138"/>
        <v>0</v>
      </c>
      <c r="O300" s="887">
        <f t="shared" ca="1" si="136"/>
        <v>0</v>
      </c>
      <c r="P300" s="887">
        <f t="shared" ca="1" si="137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0</v>
      </c>
      <c r="M301" s="881">
        <f t="shared" ca="1" si="139"/>
        <v>0</v>
      </c>
      <c r="N301" s="881">
        <f t="shared" ca="1" si="139"/>
        <v>0</v>
      </c>
      <c r="O301" s="881">
        <f t="shared" ca="1" si="136"/>
        <v>0</v>
      </c>
      <c r="P301" s="881">
        <f t="shared" ca="1" si="137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IFERROR(__xludf.DUMMYFUNCTION("IMPORTRANGE(""https://docs.google.com/spreadsheets/d/1MeEWN-I1oV_STSDYn1IFDPWt_1FKiwhDph83XaGc0o0/edit?usp=sharing"",""งบพรบ!DS85"")"),0)</f>
        <v>0</v>
      </c>
      <c r="M303" s="887">
        <f ca="1">IFERROR(__xludf.DUMMYFUNCTION("IMPORTRANGE(""https://docs.google.com/spreadsheets/d/1MeEWN-I1oV_STSDYn1IFDPWt_1FKiwhDph83XaGc0o0/edit?usp=sharing"",""งบพรบ!DX85"")"),0)</f>
        <v>0</v>
      </c>
      <c r="N303" s="887">
        <f ca="1">IFERROR(__xludf.DUMMYFUNCTION("IMPORTRANGE(""https://docs.google.com/spreadsheets/d/1MeEWN-I1oV_STSDYn1IFDPWt_1FKiwhDph83XaGc0o0/edit?usp=sharing"",""งบพรบ!DZ85"")"),0)</f>
        <v>0</v>
      </c>
      <c r="O303" s="887">
        <f t="shared" ca="1" si="136"/>
        <v>0</v>
      </c>
      <c r="P303" s="887">
        <f t="shared" ca="1" si="137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IFERROR(__xludf.DUMMYFUNCTION("IMPORTRANGE(""https://docs.google.com/spreadsheets/d/1MeEWN-I1oV_STSDYn1IFDPWt_1FKiwhDph83XaGc0o0/edit?usp=sharing"",""งบพรบ!DV85"")"),0)</f>
        <v>0</v>
      </c>
      <c r="M306" s="887">
        <f ca="1">IFERROR(__xludf.DUMMYFUNCTION("IMPORTRANGE(""https://docs.google.com/spreadsheets/d/1MeEWN-I1oV_STSDYn1IFDPWt_1FKiwhDph83XaGc0o0/edit?usp=sharing"",""งบพรบ!DY85"")"),0)</f>
        <v>0</v>
      </c>
      <c r="N306" s="887">
        <f ca="1">IFERROR(__xludf.DUMMYFUNCTION("IMPORTRANGE(""https://docs.google.com/spreadsheets/d/1MeEWN-I1oV_STSDYn1IFDPWt_1FKiwhDph83XaGc0o0/edit?usp=sharing"",""งบพรบ!EA85"")"),0)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IFERROR(__xludf.DUMMYFUNCTION("IMPORTRANGE(""https://docs.google.com/spreadsheets/d/1QqKyyYR6Q21VydFLVH3TRQUabQu_ym0Zz7PgGX0-kHA/edit?usp=sharing"",""แผน!ED85"")"),0)</f>
        <v>0</v>
      </c>
      <c r="J309" s="1012">
        <v>0</v>
      </c>
      <c r="K309" s="881">
        <f t="shared" ref="K309:K312" ca="1" si="141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IFERROR(__xludf.DUMMYFUNCTION("IMPORTRANGE(""https://docs.google.com/spreadsheets/d/1QqKyyYR6Q21VydFLVH3TRQUabQu_ym0Zz7PgGX0-kHA/edit?usp=sharing"",""แผน!ED85"")"),0)</f>
        <v>0</v>
      </c>
      <c r="J310" s="1012">
        <v>0</v>
      </c>
      <c r="K310" s="881">
        <f t="shared" ca="1" si="141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IFERROR(__xludf.DUMMYFUNCTION("IMPORTRANGE(""https://docs.google.com/spreadsheets/d/1QqKyyYR6Q21VydFLVH3TRQUabQu_ym0Zz7PgGX0-kHA/edit?usp=sharing"",""แผน!ED85"")"),0)</f>
        <v>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IFERROR(__xludf.DUMMYFUNCTION("IMPORTRANGE(""https://docs.google.com/spreadsheets/d/1QqKyyYR6Q21VydFLVH3TRQUabQu_ym0Zz7PgGX0-kHA/edit?usp=sharing"",""แผน!EE85"")"),0)</f>
        <v>0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0</v>
      </c>
      <c r="J314" s="1190">
        <f t="shared" si="142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0</v>
      </c>
      <c r="M315" s="992">
        <f t="shared" ca="1" si="143"/>
        <v>0</v>
      </c>
      <c r="N315" s="992">
        <f t="shared" ca="1" si="143"/>
        <v>0</v>
      </c>
      <c r="O315" s="992">
        <f t="shared" ref="O315:O323" ca="1" si="144">IF(L315&gt;0,N315*100/L315,0)</f>
        <v>0</v>
      </c>
      <c r="P315" s="992">
        <f t="shared" ref="P315:P323" ca="1" si="145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0</v>
      </c>
      <c r="M317" s="887">
        <f t="shared" ca="1" si="146"/>
        <v>0</v>
      </c>
      <c r="N317" s="887">
        <f t="shared" ca="1" si="146"/>
        <v>0</v>
      </c>
      <c r="O317" s="887">
        <f t="shared" ca="1" si="144"/>
        <v>0</v>
      </c>
      <c r="P317" s="887">
        <f t="shared" ca="1" si="145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0</v>
      </c>
      <c r="M318" s="881">
        <f t="shared" ca="1" si="147"/>
        <v>0</v>
      </c>
      <c r="N318" s="881">
        <f t="shared" ca="1" si="147"/>
        <v>0</v>
      </c>
      <c r="O318" s="881">
        <f t="shared" ca="1" si="144"/>
        <v>0</v>
      </c>
      <c r="P318" s="881">
        <f t="shared" ca="1" si="145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IFERROR(__xludf.DUMMYFUNCTION("IMPORTRANGE(""https://docs.google.com/spreadsheets/d/1MeEWN-I1oV_STSDYn1IFDPWt_1FKiwhDph83XaGc0o0/edit?usp=sharing"",""งบพรบ!EC85"")"),0)</f>
        <v>0</v>
      </c>
      <c r="M320" s="887">
        <f ca="1">IFERROR(__xludf.DUMMYFUNCTION("IMPORTRANGE(""https://docs.google.com/spreadsheets/d/1MeEWN-I1oV_STSDYn1IFDPWt_1FKiwhDph83XaGc0o0/edit?usp=sharing"",""งบพรบ!EH85"")"),0)</f>
        <v>0</v>
      </c>
      <c r="N320" s="887">
        <f ca="1">IFERROR(__xludf.DUMMYFUNCTION("IMPORTRANGE(""https://docs.google.com/spreadsheets/d/1MeEWN-I1oV_STSDYn1IFDPWt_1FKiwhDph83XaGc0o0/edit?usp=sharing"",""งบพรบ!EJ85"")"),0)</f>
        <v>0</v>
      </c>
      <c r="O320" s="887">
        <f t="shared" ca="1" si="144"/>
        <v>0</v>
      </c>
      <c r="P320" s="887">
        <f t="shared" ca="1" si="145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IFERROR(__xludf.DUMMYFUNCTION("IMPORTRANGE(""https://docs.google.com/spreadsheets/d/1MeEWN-I1oV_STSDYn1IFDPWt_1FKiwhDph83XaGc0o0/edit?usp=sharing"",""งบพรบ!EF85"")"),0)</f>
        <v>0</v>
      </c>
      <c r="M323" s="887">
        <f ca="1">IFERROR(__xludf.DUMMYFUNCTION("IMPORTRANGE(""https://docs.google.com/spreadsheets/d/1MeEWN-I1oV_STSDYn1IFDPWt_1FKiwhDph83XaGc0o0/edit?usp=sharing"",""งบพรบ!EI85"")"),0)</f>
        <v>0</v>
      </c>
      <c r="N323" s="887">
        <f ca="1">IFERROR(__xludf.DUMMYFUNCTION("IMPORTRANGE(""https://docs.google.com/spreadsheets/d/1MeEWN-I1oV_STSDYn1IFDPWt_1FKiwhDph83XaGc0o0/edit?usp=sharing"",""งบพรบ!EK85"")"),0)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IFERROR(__xludf.DUMMYFUNCTION("IMPORTRANGE(""https://docs.google.com/spreadsheets/d/1QqKyyYR6Q21VydFLVH3TRQUabQu_ym0Zz7PgGX0-kHA/edit?usp=sharing"",""แผน!EF85"")"),0)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IFERROR(__xludf.DUMMYFUNCTION("IMPORTRANGE(""https://docs.google.com/spreadsheets/d/1QqKyyYR6Q21VydFLVH3TRQUabQu_ym0Zz7PgGX0-kHA/edit?usp=sharing"",""แผน!EG85"")"),500)</f>
        <v>500</v>
      </c>
      <c r="J327" s="1190">
        <f ca="1">J338+J341+J342+J343</f>
        <v>665</v>
      </c>
      <c r="K327" s="1191">
        <f ca="1">IF(I327&gt;0,J327*100/I327,0)</f>
        <v>133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159000</v>
      </c>
      <c r="M328" s="992">
        <f t="shared" ca="1" si="149"/>
        <v>121750</v>
      </c>
      <c r="N328" s="992">
        <f t="shared" ca="1" si="149"/>
        <v>71426.679999999993</v>
      </c>
      <c r="O328" s="992">
        <f t="shared" ref="O328:O336" ca="1" si="150">IF(L328&gt;0,N328*100/L328,0)</f>
        <v>44.922440251572318</v>
      </c>
      <c r="P328" s="992">
        <f t="shared" ref="P328:P336" ca="1" si="151">IF(M328&gt;0,N328*100/M328,0)</f>
        <v>58.666677618069805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159000</v>
      </c>
      <c r="M330" s="887">
        <f t="shared" ca="1" si="152"/>
        <v>121750</v>
      </c>
      <c r="N330" s="887">
        <f t="shared" ca="1" si="152"/>
        <v>71426.679999999993</v>
      </c>
      <c r="O330" s="887">
        <f t="shared" ca="1" si="150"/>
        <v>44.922440251572318</v>
      </c>
      <c r="P330" s="887">
        <f t="shared" ca="1" si="151"/>
        <v>58.666677618069805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159000</v>
      </c>
      <c r="M331" s="881">
        <f t="shared" ca="1" si="153"/>
        <v>121750</v>
      </c>
      <c r="N331" s="881">
        <f t="shared" ca="1" si="153"/>
        <v>71426.679999999993</v>
      </c>
      <c r="O331" s="881">
        <f t="shared" ca="1" si="150"/>
        <v>44.922440251572318</v>
      </c>
      <c r="P331" s="881">
        <f t="shared" ca="1" si="151"/>
        <v>58.666677618069805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IFERROR(__xludf.DUMMYFUNCTION("IMPORTRANGE(""https://docs.google.com/spreadsheets/d/1MeEWN-I1oV_STSDYn1IFDPWt_1FKiwhDph83XaGc0o0/edit?usp=sharing"",""งบพรบ!EM85"")"),159000)</f>
        <v>159000</v>
      </c>
      <c r="M333" s="887">
        <f ca="1">IFERROR(__xludf.DUMMYFUNCTION("IMPORTRANGE(""https://docs.google.com/spreadsheets/d/1MeEWN-I1oV_STSDYn1IFDPWt_1FKiwhDph83XaGc0o0/edit?usp=sharing"",""งบพรบ!ER85"")"),121750)</f>
        <v>121750</v>
      </c>
      <c r="N333" s="887">
        <f ca="1">IFERROR(__xludf.DUMMYFUNCTION("IMPORTRANGE(""https://docs.google.com/spreadsheets/d/1MeEWN-I1oV_STSDYn1IFDPWt_1FKiwhDph83XaGc0o0/edit?usp=sharing"",""งบพรบ!ET85"")"),71426.68)</f>
        <v>71426.679999999993</v>
      </c>
      <c r="O333" s="887">
        <f t="shared" ca="1" si="150"/>
        <v>44.922440251572318</v>
      </c>
      <c r="P333" s="887">
        <f t="shared" ca="1" si="151"/>
        <v>58.666677618069805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IFERROR(__xludf.DUMMYFUNCTION("IMPORTRANGE(""https://docs.google.com/spreadsheets/d/1MeEWN-I1oV_STSDYn1IFDPWt_1FKiwhDph83XaGc0o0/edit?usp=sharing"",""งบพรบ!EP85"")"),0)</f>
        <v>0</v>
      </c>
      <c r="M336" s="887">
        <f ca="1">IFERROR(__xludf.DUMMYFUNCTION("IMPORTRANGE(""https://docs.google.com/spreadsheets/d/1MeEWN-I1oV_STSDYn1IFDPWt_1FKiwhDph83XaGc0o0/edit?usp=sharing"",""งบพรบ!ES85"")"),0)</f>
        <v>0</v>
      </c>
      <c r="N336" s="887">
        <f ca="1">IFERROR(__xludf.DUMMYFUNCTION("IMPORTRANGE(""https://docs.google.com/spreadsheets/d/1MeEWN-I1oV_STSDYn1IFDPWt_1FKiwhDph83XaGc0o0/edit?usp=sharing"",""งบพรบ!EU85"")"),0)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IFERROR(__xludf.DUMMYFUNCTION("IMPORTRANGE(""https://docs.google.com/spreadsheets/d/1QqKyyYR6Q21VydFLVH3TRQUabQu_ym0Zz7PgGX0-kHA/edit?usp=sharing"",""แผน!EG85"")"),500)</f>
        <v>500</v>
      </c>
      <c r="J338" s="880">
        <f ca="1">IFERROR(__xludf.DUMMYFUNCTION("IMPORTRANGE(""https://docs.google.com/spreadsheets/d/1kVcqe37tkHyjCSG3S0O1AXqVkqjo8mSIZil3BcpIysc/edit?usp=sharing"",""ศูนย์!D85"")"),592)</f>
        <v>592</v>
      </c>
      <c r="K338" s="881">
        <f ca="1">IF(I338&gt;0,J338*100/I338,0)</f>
        <v>118.4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IFERROR(__xludf.DUMMYFUNCTION("IMPORTRANGE(""https://docs.google.com/spreadsheets/d/1QqKyyYR6Q21VydFLVH3TRQUabQu_ym0Zz7PgGX0-kHA/edit?usp=sharing"",""แผน!EH85"")"),3)</f>
        <v>3</v>
      </c>
      <c r="J340" s="880">
        <f ca="1">IFERROR(__xludf.DUMMYFUNCTION("IMPORTRANGE(""https://docs.google.com/spreadsheets/d/1kVcqe37tkHyjCSG3S0O1AXqVkqjo8mSIZil3BcpIysc/edit?usp=sharing"",""ศูนย์!E85"")"),3)</f>
        <v>3</v>
      </c>
      <c r="K340" s="881">
        <f ca="1">IF(I340&gt;0,J340*100/I340,0)</f>
        <v>100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IFERROR(__xludf.DUMMYFUNCTION("IMPORTRANGE(""https://docs.google.com/spreadsheets/d/1kVcqe37tkHyjCSG3S0O1AXqVkqjo8mSIZil3BcpIysc/edit?usp=sharing"",""ศูนย์!F85"")"),73)</f>
        <v>73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IFERROR(__xludf.DUMMYFUNCTION("IMPORTRANGE(""https://docs.google.com/spreadsheets/d/1kVcqe37tkHyjCSG3S0O1AXqVkqjo8mSIZil3BcpIysc/edit?usp=sharing"",""ศูนย์!G85"")"),0)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IFERROR(__xludf.DUMMYFUNCTION("IMPORTRANGE(""https://docs.google.com/spreadsheets/d/1kVcqe37tkHyjCSG3S0O1AXqVkqjo8mSIZil3BcpIysc/edit?usp=sharing"",""ศูนย์!H85"")"),0)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619700</v>
      </c>
      <c r="M345" s="992">
        <f t="shared" ca="1" si="155"/>
        <v>480800</v>
      </c>
      <c r="N345" s="992">
        <f t="shared" ca="1" si="155"/>
        <v>319969.68</v>
      </c>
      <c r="O345" s="992">
        <f t="shared" ref="O345:O353" ca="1" si="156">IF(L345&gt;0,N345*100/L345,0)</f>
        <v>51.632996611263515</v>
      </c>
      <c r="P345" s="992">
        <f t="shared" ref="P345:P353" ca="1" si="157">IF(M345&gt;0,N345*100/M345,0)</f>
        <v>66.549434276206327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619700</v>
      </c>
      <c r="M347" s="887">
        <f t="shared" ca="1" si="158"/>
        <v>480800</v>
      </c>
      <c r="N347" s="887">
        <f t="shared" ca="1" si="158"/>
        <v>319969.68</v>
      </c>
      <c r="O347" s="887">
        <f t="shared" ca="1" si="156"/>
        <v>51.632996611263515</v>
      </c>
      <c r="P347" s="887">
        <f t="shared" ca="1" si="157"/>
        <v>66.549434276206327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573700</v>
      </c>
      <c r="M348" s="881">
        <f t="shared" ca="1" si="159"/>
        <v>434800</v>
      </c>
      <c r="N348" s="881">
        <f t="shared" ca="1" si="159"/>
        <v>273969.68</v>
      </c>
      <c r="O348" s="881">
        <f t="shared" ca="1" si="156"/>
        <v>47.75486839811748</v>
      </c>
      <c r="P348" s="881">
        <f t="shared" ca="1" si="157"/>
        <v>63.010505979760808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IFERROR(__xludf.DUMMYFUNCTION("IMPORTRANGE(""https://docs.google.com/spreadsheets/d/1MeEWN-I1oV_STSDYn1IFDPWt_1FKiwhDph83XaGc0o0/edit?usp=sharing"",""งบพรบ!EW85"")"),573700)</f>
        <v>573700</v>
      </c>
      <c r="M350" s="887">
        <f ca="1">IFERROR(__xludf.DUMMYFUNCTION("IMPORTRANGE(""https://docs.google.com/spreadsheets/d/1MeEWN-I1oV_STSDYn1IFDPWt_1FKiwhDph83XaGc0o0/edit?usp=sharing"",""งบพรบ!FB85"")"),434800)</f>
        <v>434800</v>
      </c>
      <c r="N350" s="887">
        <f ca="1">IFERROR(__xludf.DUMMYFUNCTION("IMPORTRANGE(""https://docs.google.com/spreadsheets/d/1MeEWN-I1oV_STSDYn1IFDPWt_1FKiwhDph83XaGc0o0/edit?usp=sharing"",""งบพรบ!FD85"")"),273969.68)</f>
        <v>273969.68</v>
      </c>
      <c r="O350" s="887">
        <f t="shared" ca="1" si="156"/>
        <v>47.75486839811748</v>
      </c>
      <c r="P350" s="887">
        <f t="shared" ca="1" si="157"/>
        <v>63.010505979760808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46000</v>
      </c>
      <c r="M351" s="881">
        <f t="shared" ca="1" si="160"/>
        <v>46000</v>
      </c>
      <c r="N351" s="881">
        <f t="shared" ca="1" si="160"/>
        <v>46000</v>
      </c>
      <c r="O351" s="881">
        <f t="shared" ca="1" si="156"/>
        <v>100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IFERROR(__xludf.DUMMYFUNCTION("IMPORTRANGE(""https://docs.google.com/spreadsheets/d/1MeEWN-I1oV_STSDYn1IFDPWt_1FKiwhDph83XaGc0o0/edit?usp=sharing"",""งบพรบ!EZ85"")"),46000)</f>
        <v>46000</v>
      </c>
      <c r="M353" s="887">
        <f ca="1">IFERROR(__xludf.DUMMYFUNCTION("IMPORTRANGE(""https://docs.google.com/spreadsheets/d/1MeEWN-I1oV_STSDYn1IFDPWt_1FKiwhDph83XaGc0o0/edit?usp=sharing"",""งบพรบ!FC85"")"),46000)</f>
        <v>46000</v>
      </c>
      <c r="N353" s="887">
        <f ca="1">IFERROR(__xludf.DUMMYFUNCTION("IMPORTRANGE(""https://docs.google.com/spreadsheets/d/1MeEWN-I1oV_STSDYn1IFDPWt_1FKiwhDph83XaGc0o0/edit?usp=sharing"",""งบพรบ!FE85"")"),46000)</f>
        <v>46000</v>
      </c>
      <c r="O353" s="887">
        <f t="shared" ca="1" si="156"/>
        <v>100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IFERROR(__xludf.DUMMYFUNCTION("IMPORTRANGE(""https://docs.google.com/spreadsheets/d/1QqKyyYR6Q21VydFLVH3TRQUabQu_ym0Zz7PgGX0-kHA/edit?usp=sharing"",""แผน!EP85"")"),60)</f>
        <v>60</v>
      </c>
      <c r="J355" s="1206">
        <f ca="1">J362</f>
        <v>29</v>
      </c>
      <c r="K355" s="1207">
        <f ca="1">IF(I355&gt;0,J355*100/I355,0)</f>
        <v>48.333333333333336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IFERROR(__xludf.DUMMYFUNCTION("IMPORTRANGE(""https://docs.google.com/spreadsheets/d/1XWAQStnk-4SwqDmLtmXYiTMKHgktTP8We1SCoS47DrQ/edit?usp=sharing"",""จัดที่ดิน!W85"")"),63)</f>
        <v>63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IFERROR(__xludf.DUMMYFUNCTION("IMPORTRANGE(""https://docs.google.com/spreadsheets/d/1QqKyyYR6Q21VydFLVH3TRQUabQu_ym0Zz7PgGX0-kHA/edit?usp=sharing"",""แผน!EO85"")"),450)</f>
        <v>450</v>
      </c>
      <c r="J359" s="880">
        <f ca="1">IFERROR(__xludf.DUMMYFUNCTION("IMPORTRANGE(""https://docs.google.com/spreadsheets/d/1XWAQStnk-4SwqDmLtmXYiTMKHgktTP8We1SCoS47DrQ/edit?usp=sharing"",""จัดที่ดิน!X85"")"),316.23)</f>
        <v>316.23</v>
      </c>
      <c r="K359" s="881">
        <f t="shared" ca="1" si="161"/>
        <v>70.273333333333326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IFERROR(__xludf.DUMMYFUNCTION("IMPORTRANGE(""https://docs.google.com/spreadsheets/d/1QqKyyYR6Q21VydFLVH3TRQUabQu_ym0Zz7PgGX0-kHA/edit?usp=sharing"",""แผน!EP85"")"),60)</f>
        <v>60</v>
      </c>
      <c r="J360" s="880">
        <f ca="1">IFERROR(__xludf.DUMMYFUNCTION("IMPORTRANGE(""https://docs.google.com/spreadsheets/d/1XWAQStnk-4SwqDmLtmXYiTMKHgktTP8We1SCoS47DrQ/edit?usp=sharing"",""จัดที่ดิน!Y85"")"),43)</f>
        <v>43</v>
      </c>
      <c r="K360" s="881">
        <f t="shared" ca="1" si="161"/>
        <v>71.666666666666671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IFERROR(__xludf.DUMMYFUNCTION("IMPORTRANGE(""https://docs.google.com/spreadsheets/d/1XWAQStnk-4SwqDmLtmXYiTMKHgktTP8We1SCoS47DrQ/edit?usp=sharing"",""จัดที่ดิน!Z85"")"),222.15)</f>
        <v>222.15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IFERROR(__xludf.DUMMYFUNCTION("IMPORTRANGE(""https://docs.google.com/spreadsheets/d/1QqKyyYR6Q21VydFLVH3TRQUabQu_ym0Zz7PgGX0-kHA/edit?usp=sharing"",""แผน!EP85"")"),60)</f>
        <v>60</v>
      </c>
      <c r="J362" s="880">
        <f ca="1">IFERROR(__xludf.DUMMYFUNCTION("IMPORTRANGE(""https://docs.google.com/spreadsheets/d/1XWAQStnk-4SwqDmLtmXYiTMKHgktTP8We1SCoS47DrQ/edit?usp=sharing"",""จัดที่ดิน!AA85"")"),29)</f>
        <v>29</v>
      </c>
      <c r="K362" s="881">
        <f t="shared" ca="1" si="161"/>
        <v>48.333333333333336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IFERROR(__xludf.DUMMYFUNCTION("IMPORTRANGE(""https://docs.google.com/spreadsheets/d/1XWAQStnk-4SwqDmLtmXYiTMKHgktTP8We1SCoS47DrQ/edit?usp=sharing"",""จัดที่ดิน!AB85"")"),167.46)</f>
        <v>167.46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110</v>
      </c>
      <c r="J364" s="1219">
        <f t="shared" ca="1" si="162"/>
        <v>59</v>
      </c>
      <c r="K364" s="1220">
        <f t="shared" ca="1" si="161"/>
        <v>53.636363636363633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IFERROR(__xludf.DUMMYFUNCTION("IMPORTRANGE(""https://docs.google.com/spreadsheets/d/1QqKyyYR6Q21VydFLVH3TRQUabQu_ym0Zz7PgGX0-kHA/edit?usp=sharing"",""แผน!EJ85"")"),30)</f>
        <v>30</v>
      </c>
      <c r="J365" s="1227">
        <f ca="1">J372</f>
        <v>12</v>
      </c>
      <c r="K365" s="1228">
        <f t="shared" ca="1" si="161"/>
        <v>40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IFERROR(__xludf.DUMMYFUNCTION("IMPORTRANGE(""https://docs.google.com/spreadsheets/d/1XWAQStnk-4SwqDmLtmXYiTMKHgktTP8We1SCoS47DrQ/edit?usp=sharing"",""จัดที่ดิน!E85"")"),42)</f>
        <v>42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IFERROR(__xludf.DUMMYFUNCTION("IMPORTRANGE(""https://docs.google.com/spreadsheets/d/1QqKyyYR6Q21VydFLVH3TRQUabQu_ym0Zz7PgGX0-kHA/edit?usp=sharing"",""แผน!EI85"")"),300)</f>
        <v>300</v>
      </c>
      <c r="J369" s="880">
        <f ca="1">IFERROR(__xludf.DUMMYFUNCTION("IMPORTRANGE(""https://docs.google.com/spreadsheets/d/1XWAQStnk-4SwqDmLtmXYiTMKHgktTP8We1SCoS47DrQ/edit?usp=sharing"",""จัดที่ดิน!F85"")"),238.92)</f>
        <v>238.92</v>
      </c>
      <c r="K369" s="881">
        <f t="shared" ca="1" si="163"/>
        <v>79.64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IFERROR(__xludf.DUMMYFUNCTION("IMPORTRANGE(""https://docs.google.com/spreadsheets/d/1QqKyyYR6Q21VydFLVH3TRQUabQu_ym0Zz7PgGX0-kHA/edit?usp=sharing"",""แผน!EJ85"")"),30)</f>
        <v>30</v>
      </c>
      <c r="J370" s="880">
        <f ca="1">IFERROR(__xludf.DUMMYFUNCTION("IMPORTRANGE(""https://docs.google.com/spreadsheets/d/1XWAQStnk-4SwqDmLtmXYiTMKHgktTP8We1SCoS47DrQ/edit?usp=sharing"",""จัดที่ดิน!G85"")"),28)</f>
        <v>28</v>
      </c>
      <c r="K370" s="881">
        <f t="shared" ca="1" si="163"/>
        <v>93.333333333333329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IFERROR(__xludf.DUMMYFUNCTION("IMPORTRANGE(""https://docs.google.com/spreadsheets/d/1XWAQStnk-4SwqDmLtmXYiTMKHgktTP8We1SCoS47DrQ/edit?usp=sharing"",""จัดที่ดิน!H85"")"),167.12)</f>
        <v>167.12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IFERROR(__xludf.DUMMYFUNCTION("IMPORTRANGE(""https://docs.google.com/spreadsheets/d/1QqKyyYR6Q21VydFLVH3TRQUabQu_ym0Zz7PgGX0-kHA/edit?usp=sharing"",""แผน!EJ85"")"),30)</f>
        <v>30</v>
      </c>
      <c r="J372" s="880">
        <f ca="1">IFERROR(__xludf.DUMMYFUNCTION("IMPORTRANGE(""https://docs.google.com/spreadsheets/d/1XWAQStnk-4SwqDmLtmXYiTMKHgktTP8We1SCoS47DrQ/edit?usp=sharing"",""จัดที่ดิน!I85"")"),12)</f>
        <v>12</v>
      </c>
      <c r="K372" s="881">
        <f t="shared" ca="1" si="163"/>
        <v>40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IFERROR(__xludf.DUMMYFUNCTION("IMPORTRANGE(""https://docs.google.com/spreadsheets/d/1XWAQStnk-4SwqDmLtmXYiTMKHgktTP8We1SCoS47DrQ/edit?usp=sharing"",""จัดที่ดิน!J85"")"),107.42)</f>
        <v>107.42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IFERROR(__xludf.DUMMYFUNCTION("IMPORTRANGE(""https://docs.google.com/spreadsheets/d/1QqKyyYR6Q21VydFLVH3TRQUabQu_ym0Zz7PgGX0-kHA/edit?usp=sharing"",""แผน!EU85"")"),80)</f>
        <v>80</v>
      </c>
      <c r="J374" s="1227">
        <f ca="1">J381</f>
        <v>47</v>
      </c>
      <c r="K374" s="1228">
        <f t="shared" ca="1" si="163"/>
        <v>58.75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IFERROR(__xludf.DUMMYFUNCTION("IMPORTRANGE(""https://docs.google.com/spreadsheets/d/1XWAQStnk-4SwqDmLtmXYiTMKHgktTP8We1SCoS47DrQ/edit?usp=sharing"",""จัดที่ดิน!AH85"")"),21)</f>
        <v>21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IFERROR(__xludf.DUMMYFUNCTION("IMPORTRANGE(""https://docs.google.com/spreadsheets/d/1QqKyyYR6Q21VydFLVH3TRQUabQu_ym0Zz7PgGX0-kHA/edit?usp=sharing"",""แผน!ET85"")"),150)</f>
        <v>150</v>
      </c>
      <c r="J378" s="880">
        <f ca="1">IFERROR(__xludf.DUMMYFUNCTION("IMPORTRANGE(""https://docs.google.com/spreadsheets/d/1XWAQStnk-4SwqDmLtmXYiTMKHgktTP8We1SCoS47DrQ/edit?usp=sharing"",""จัดที่ดิน!AI85"")"),77.31)</f>
        <v>77.31</v>
      </c>
      <c r="K378" s="881">
        <f t="shared" ca="1" si="164"/>
        <v>51.54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IFERROR(__xludf.DUMMYFUNCTION("IMPORTRANGE(""https://docs.google.com/spreadsheets/d/1QqKyyYR6Q21VydFLVH3TRQUabQu_ym0Zz7PgGX0-kHA/edit?usp=sharing"",""แผน!EU85"")"),80)</f>
        <v>80</v>
      </c>
      <c r="J379" s="880">
        <f ca="1">IFERROR(__xludf.DUMMYFUNCTION("IMPORTRANGE(""https://docs.google.com/spreadsheets/d/1XWAQStnk-4SwqDmLtmXYiTMKHgktTP8We1SCoS47DrQ/edit?usp=sharing"",""จัดที่ดิน!AJ85"")"),58)</f>
        <v>58</v>
      </c>
      <c r="K379" s="881">
        <f t="shared" ca="1" si="164"/>
        <v>72.5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IFERROR(__xludf.DUMMYFUNCTION("IMPORTRANGE(""https://docs.google.com/spreadsheets/d/1XWAQStnk-4SwqDmLtmXYiTMKHgktTP8We1SCoS47DrQ/edit?usp=sharing"",""จัดที่ดิน!AK85"")"),752.68)</f>
        <v>752.68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IFERROR(__xludf.DUMMYFUNCTION("IMPORTRANGE(""https://docs.google.com/spreadsheets/d/1QqKyyYR6Q21VydFLVH3TRQUabQu_ym0Zz7PgGX0-kHA/edit?usp=sharing"",""แผน!EU85"")"),80)</f>
        <v>80</v>
      </c>
      <c r="J381" s="880">
        <f ca="1">IFERROR(__xludf.DUMMYFUNCTION("IMPORTRANGE(""https://docs.google.com/spreadsheets/d/1XWAQStnk-4SwqDmLtmXYiTMKHgktTP8We1SCoS47DrQ/edit?usp=sharing"",""จัดที่ดิน!AL85"")"),47)</f>
        <v>47</v>
      </c>
      <c r="K381" s="881">
        <f t="shared" ca="1" si="164"/>
        <v>58.75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IFERROR(__xludf.DUMMYFUNCTION("IMPORTRANGE(""https://docs.google.com/spreadsheets/d/1XWAQStnk-4SwqDmLtmXYiTMKHgktTP8We1SCoS47DrQ/edit?usp=sharing"",""จัดที่ดิน!AM85"")"),434.51)</f>
        <v>434.51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IFERROR(__xludf.DUMMYFUNCTION("IMPORTRANGE(""https://docs.google.com/spreadsheets/d/1QqKyyYR6Q21VydFLVH3TRQUabQu_ym0Zz7PgGX0-kHA/edit?usp=sharing"",""แผน!EW85"")"),10)</f>
        <v>10</v>
      </c>
      <c r="J385" s="1138">
        <f ca="1">IFERROR(__xludf.DUMMYFUNCTION("IMPORTRANGE(""https://docs.google.com/spreadsheets/d/1XWAQStnk-4SwqDmLtmXYiTMKHgktTP8We1SCoS47DrQ/edit?usp=sharing"",""จัดที่ดิน!AP85"")"),0)</f>
        <v>0</v>
      </c>
      <c r="K385" s="1239">
        <f ca="1">IF(I385&gt;0,J385*100/I385,0)</f>
        <v>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IFERROR(__xludf.DUMMYFUNCTION("IMPORTRANGE(""https://docs.google.com/spreadsheets/d/1MeEWN-I1oV_STSDYn1IFDPWt_1FKiwhDph83XaGc0o0/edit?usp=sharing"",""งบพรบ!FG85"")"),0)</f>
        <v>0</v>
      </c>
      <c r="M394" s="887">
        <f ca="1">IFERROR(__xludf.DUMMYFUNCTION("IMPORTRANGE(""https://docs.google.com/spreadsheets/d/1MeEWN-I1oV_STSDYn1IFDPWt_1FKiwhDph83XaGc0o0/edit?usp=sharing"",""งบพรบ!FL85"")"),0)</f>
        <v>0</v>
      </c>
      <c r="N394" s="887">
        <f ca="1">IFERROR(__xludf.DUMMYFUNCTION("IMPORTRANGE(""https://docs.google.com/spreadsheets/d/1MeEWN-I1oV_STSDYn1IFDPWt_1FKiwhDph83XaGc0o0/edit?usp=sharing"",""งบพรบ!FN85"")"),0)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IFERROR(__xludf.DUMMYFUNCTION("IMPORTRANGE(""https://docs.google.com/spreadsheets/d/1MeEWN-I1oV_STSDYn1IFDPWt_1FKiwhDph83XaGc0o0/edit?usp=sharing"",""งบพรบ!FJ85"")"),0)</f>
        <v>0</v>
      </c>
      <c r="M397" s="887">
        <f ca="1">IFERROR(__xludf.DUMMYFUNCTION("IMPORTRANGE(""https://docs.google.com/spreadsheets/d/1MeEWN-I1oV_STSDYn1IFDPWt_1FKiwhDph83XaGc0o0/edit?usp=sharing"",""งบพรบ!FM85"")"),0)</f>
        <v>0</v>
      </c>
      <c r="N397" s="887">
        <f ca="1">IFERROR(__xludf.DUMMYFUNCTION("IMPORTRANGE(""https://docs.google.com/spreadsheets/d/1MeEWN-I1oV_STSDYn1IFDPWt_1FKiwhDph83XaGc0o0/edit?usp=sharing"",""งบพรบ!FO85"")"),0)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IFERROR(__xludf.DUMMYFUNCTION("IMPORTRANGE(""https://docs.google.com/spreadsheets/d/1MeEWN-I1oV_STSDYn1IFDPWt_1FKiwhDph83XaGc0o0/edit?usp=sharing"",""งบพรบ!FQ85"")"),0)</f>
        <v>0</v>
      </c>
      <c r="M407" s="887">
        <f ca="1">IFERROR(__xludf.DUMMYFUNCTION("IMPORTRANGE(""https://docs.google.com/spreadsheets/d/1MeEWN-I1oV_STSDYn1IFDPWt_1FKiwhDph83XaGc0o0/edit?usp=sharing"",""งบพรบ!FV85"")"),0)</f>
        <v>0</v>
      </c>
      <c r="N407" s="887">
        <f ca="1">IFERROR(__xludf.DUMMYFUNCTION("IMPORTRANGE(""https://docs.google.com/spreadsheets/d/1MeEWN-I1oV_STSDYn1IFDPWt_1FKiwhDph83XaGc0o0/edit?usp=sharing"",""งบพรบ!FX85"")"),0)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IFERROR(__xludf.DUMMYFUNCTION("IMPORTRANGE(""https://docs.google.com/spreadsheets/d/1MeEWN-I1oV_STSDYn1IFDPWt_1FKiwhDph83XaGc0o0/edit?usp=sharing"",""งบพรบ!FT85"")"),0)</f>
        <v>0</v>
      </c>
      <c r="M410" s="887">
        <f ca="1">IFERROR(__xludf.DUMMYFUNCTION("IMPORTRANGE(""https://docs.google.com/spreadsheets/d/1MeEWN-I1oV_STSDYn1IFDPWt_1FKiwhDph83XaGc0o0/edit?usp=sharing"",""งบพรบ!FW85"")"),0)</f>
        <v>0</v>
      </c>
      <c r="N410" s="887">
        <f ca="1">IFERROR(__xludf.DUMMYFUNCTION("IMPORTRANGE(""https://docs.google.com/spreadsheets/d/1MeEWN-I1oV_STSDYn1IFDPWt_1FKiwhDph83XaGc0o0/edit?usp=sharing"",""งบพรบ!FY85"")"),0)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1699978</v>
      </c>
      <c r="M414" s="1281">
        <f t="shared" ca="1" si="181"/>
        <v>1699978</v>
      </c>
      <c r="N414" s="1281">
        <f t="shared" si="181"/>
        <v>364744.9</v>
      </c>
      <c r="O414" s="1281">
        <f ca="1">IF(L414&gt;0,N414*100/L414,0)</f>
        <v>21.455860017011986</v>
      </c>
      <c r="P414" s="1281">
        <f ca="1">IF(M414&gt;0,N414*100/M414,0)</f>
        <v>21.455860017011986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15</v>
      </c>
      <c r="J417" s="1294">
        <f t="shared" ca="1" si="182"/>
        <v>15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66560</v>
      </c>
      <c r="M419" s="992">
        <f t="shared" ca="1" si="184"/>
        <v>66560</v>
      </c>
      <c r="N419" s="992">
        <f t="shared" si="184"/>
        <v>42003.18</v>
      </c>
      <c r="O419" s="992">
        <f t="shared" ref="O419:O424" ca="1" si="185">IF(L419&gt;0,N419*100/L419,0)</f>
        <v>63.105739182692311</v>
      </c>
      <c r="P419" s="992">
        <f t="shared" ref="P419:P424" ca="1" si="186">IF(M419&gt;0,N419*100/M419,0)</f>
        <v>63.105739182692311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66560</v>
      </c>
      <c r="M421" s="887">
        <f t="shared" ca="1" si="187"/>
        <v>66560</v>
      </c>
      <c r="N421" s="887">
        <f t="shared" si="187"/>
        <v>42003.18</v>
      </c>
      <c r="O421" s="887">
        <f t="shared" ca="1" si="185"/>
        <v>63.105739182692311</v>
      </c>
      <c r="P421" s="887">
        <f t="shared" ca="1" si="186"/>
        <v>63.105739182692311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66560</v>
      </c>
      <c r="M422" s="881">
        <f t="shared" ca="1" si="188"/>
        <v>66560</v>
      </c>
      <c r="N422" s="881">
        <f t="shared" si="188"/>
        <v>42003.18</v>
      </c>
      <c r="O422" s="881">
        <f t="shared" ca="1" si="185"/>
        <v>63.105739182692311</v>
      </c>
      <c r="P422" s="881">
        <f t="shared" ca="1" si="186"/>
        <v>63.105739182692311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IFERROR(__xludf.DUMMYFUNCTION("IMPORTRANGE(""https://docs.google.com/spreadsheets/d/1QqKyyYR6Q21VydFLVH3TRQUabQu_ym0Zz7PgGX0-kHA/edit?usp=sharing"",""แผน!EY85"")"),66560)</f>
        <v>66560</v>
      </c>
      <c r="M424" s="887">
        <f ca="1">L424</f>
        <v>66560</v>
      </c>
      <c r="N424" s="887">
        <f>N425+N426+N427+N428</f>
        <v>42003.18</v>
      </c>
      <c r="O424" s="887">
        <f t="shared" ca="1" si="185"/>
        <v>63.105739182692311</v>
      </c>
      <c r="P424" s="887">
        <f t="shared" ca="1" si="186"/>
        <v>63.105739182692311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25125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16878.18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IFERROR(__xludf.DUMMYFUNCTION("IMPORTRANGE(""https://docs.google.com/spreadsheets/d/1QqKyyYR6Q21VydFLVH3TRQUabQu_ym0Zz7PgGX0-kHA/edit?usp=sharing"",""แผน!FB85"")"),0)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15</v>
      </c>
      <c r="J433" s="1019">
        <f ca="1">IF(AND(J435=I435,J437=I437,J439=I439),I437+I439,IF(AND(J435=I437,J437=I437),I437,IF(AND(J435=I439,J439=I439),I439,0)))</f>
        <v>15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IFERROR(__xludf.DUMMYFUNCTION("IMPORTRANGE(""https://docs.google.com/spreadsheets/d/1QqKyyYR6Q21VydFLVH3TRQUabQu_ym0Zz7PgGX0-kHA/edit?usp=sharing"",""แผน!FC85"")"),15)</f>
        <v>15</v>
      </c>
      <c r="J435" s="583">
        <v>15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IFERROR(__xludf.DUMMYFUNCTION("IMPORTRANGE(""https://docs.google.com/spreadsheets/d/1QqKyyYR6Q21VydFLVH3TRQUabQu_ym0Zz7PgGX0-kHA/edit?usp=sharing"",""แผน!FD85"")"),0)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IFERROR(__xludf.DUMMYFUNCTION("IMPORTRANGE(""https://docs.google.com/spreadsheets/d/1QqKyyYR6Q21VydFLVH3TRQUabQu_ym0Zz7PgGX0-kHA/edit?usp=sharing"",""แผน!FE85"")"),0)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IFERROR(__xludf.DUMMYFUNCTION("IMPORTRANGE(""https://docs.google.com/spreadsheets/d/1QqKyyYR6Q21VydFLVH3TRQUabQu_ym0Zz7PgGX0-kHA/edit?usp=sharing"",""แผน!FF85"")"),15)</f>
        <v>15</v>
      </c>
      <c r="J439" s="583">
        <v>15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IFERROR(__xludf.DUMMYFUNCTION("IMPORTRANGE(""https://docs.google.com/spreadsheets/d/1QqKyyYR6Q21VydFLVH3TRQUabQu_ym0Zz7PgGX0-kHA/edit?usp=sharing"",""แผน!FG85"")"),1)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IFERROR(__xludf.DUMMYFUNCTION("IMPORTRANGE(""https://docs.google.com/spreadsheets/d/1QqKyyYR6Q21VydFLVH3TRQUabQu_ym0Zz7PgGX0-kHA/edit?usp=sharing"",""แผน!FH85"")"),0)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20</v>
      </c>
      <c r="J442" s="1310">
        <f t="shared" si="195"/>
        <v>20</v>
      </c>
      <c r="K442" s="1311">
        <f t="shared" ca="1" si="194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20</v>
      </c>
      <c r="J443" s="1294">
        <f t="shared" si="196"/>
        <v>20</v>
      </c>
      <c r="K443" s="1295">
        <f t="shared" ca="1" si="194"/>
        <v>100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78360</v>
      </c>
      <c r="M444" s="1020">
        <f t="shared" ca="1" si="197"/>
        <v>78360</v>
      </c>
      <c r="N444" s="1020">
        <f t="shared" si="197"/>
        <v>15520</v>
      </c>
      <c r="O444" s="1020">
        <f t="shared" ref="O444:O449" ca="1" si="198">IF(L444&gt;0,N444*100/L444,0)</f>
        <v>19.806023481368044</v>
      </c>
      <c r="P444" s="1020">
        <f t="shared" ref="P444:P449" ca="1" si="199">IF(M444&gt;0,N444*100/M444,0)</f>
        <v>19.806023481368044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78360</v>
      </c>
      <c r="M446" s="887">
        <f t="shared" ca="1" si="200"/>
        <v>78360</v>
      </c>
      <c r="N446" s="887">
        <f t="shared" si="200"/>
        <v>15520</v>
      </c>
      <c r="O446" s="887">
        <f t="shared" ca="1" si="198"/>
        <v>19.806023481368044</v>
      </c>
      <c r="P446" s="887">
        <f t="shared" ca="1" si="199"/>
        <v>19.806023481368044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78360</v>
      </c>
      <c r="M447" s="881">
        <f t="shared" ca="1" si="201"/>
        <v>78360</v>
      </c>
      <c r="N447" s="881">
        <f t="shared" si="201"/>
        <v>15520</v>
      </c>
      <c r="O447" s="881">
        <f t="shared" ca="1" si="198"/>
        <v>19.806023481368044</v>
      </c>
      <c r="P447" s="881">
        <f t="shared" ca="1" si="199"/>
        <v>19.806023481368044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IFERROR(__xludf.DUMMYFUNCTION("IMPORTRANGE(""https://docs.google.com/spreadsheets/d/1QqKyyYR6Q21VydFLVH3TRQUabQu_ym0Zz7PgGX0-kHA/edit?usp=sharing"",""แผน!FJ85"")"),78360)</f>
        <v>78360</v>
      </c>
      <c r="M449" s="887">
        <f ca="1">L449</f>
        <v>78360</v>
      </c>
      <c r="N449" s="887">
        <f>N450+N451+N452+N453</f>
        <v>15520</v>
      </c>
      <c r="O449" s="887">
        <f t="shared" ca="1" si="198"/>
        <v>19.806023481368044</v>
      </c>
      <c r="P449" s="887">
        <f t="shared" ca="1" si="199"/>
        <v>19.806023481368044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15520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IFERROR(__xludf.DUMMYFUNCTION("IMPORTRANGE(""https://docs.google.com/spreadsheets/d/1QqKyyYR6Q21VydFLVH3TRQUabQu_ym0Zz7PgGX0-kHA/edit?usp=sharing"",""แผน!FM85"")"),0)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IFERROR(__xludf.DUMMYFUNCTION("IMPORTRANGE(""https://docs.google.com/spreadsheets/d/1QqKyyYR6Q21VydFLVH3TRQUabQu_ym0Zz7PgGX0-kHA/edit?usp=sharing"",""แผน!FN85"")"),20)</f>
        <v>20</v>
      </c>
      <c r="J460" s="1012">
        <v>20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IFERROR(__xludf.DUMMYFUNCTION("IMPORTRANGE(""https://docs.google.com/spreadsheets/d/1QqKyyYR6Q21VydFLVH3TRQUabQu_ym0Zz7PgGX0-kHA/edit?usp=sharing"",""แผน!FO85"")"),20)</f>
        <v>20</v>
      </c>
      <c r="J462" s="1012">
        <v>20</v>
      </c>
      <c r="K462" s="881">
        <f ca="1">IF(I462&gt;0,J462*100/I462,0)</f>
        <v>100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IFERROR(__xludf.DUMMYFUNCTION("IMPORTRANGE(""https://docs.google.com/spreadsheets/d/1QqKyyYR6Q21VydFLVH3TRQUabQu_ym0Zz7PgGX0-kHA/edit?usp=sharing"",""แผน!FO85"")"),20)</f>
        <v>20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IFERROR(__xludf.DUMMYFUNCTION("IMPORTRANGE(""https://docs.google.com/spreadsheets/d/1QqKyyYR6Q21VydFLVH3TRQUabQu_ym0Zz7PgGX0-kHA/edit?usp=sharing"",""แผน!FN85"")"),20)</f>
        <v>20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IFERROR(__xludf.DUMMYFUNCTION("IMPORTRANGE(""https://docs.google.com/spreadsheets/d/1QqKyyYR6Q21VydFLVH3TRQUabQu_ym0Zz7PgGX0-kHA/edit?usp=sharing"",""แผน!FX85"")"),131)</f>
        <v>131</v>
      </c>
      <c r="J465" s="1310">
        <f>J485+J489+J492</f>
        <v>131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IFERROR(__xludf.DUMMYFUNCTION("IMPORTRANGE(""https://docs.google.com/spreadsheets/d/1QqKyyYR6Q21VydFLVH3TRQUabQu_ym0Zz7PgGX0-kHA/edit?usp=sharing"",""แผน!FW85"")"),1300)</f>
        <v>1300</v>
      </c>
      <c r="J466" s="1294">
        <f>J495+J498</f>
        <v>0</v>
      </c>
      <c r="K466" s="1295">
        <f t="shared" ca="1" si="205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1172908</v>
      </c>
      <c r="M467" s="1020">
        <f t="shared" ca="1" si="206"/>
        <v>1172908</v>
      </c>
      <c r="N467" s="1020">
        <f t="shared" si="206"/>
        <v>254094.72</v>
      </c>
      <c r="O467" s="1020">
        <f t="shared" ref="O467:O472" ca="1" si="207">IF(L467&gt;0,N467*100/L467,0)</f>
        <v>21.663653074239413</v>
      </c>
      <c r="P467" s="1020">
        <f t="shared" ref="P467:P472" ca="1" si="208">IF(M467&gt;0,N467*100/M467,0)</f>
        <v>21.663653074239413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1172908</v>
      </c>
      <c r="M469" s="887">
        <f t="shared" ca="1" si="209"/>
        <v>1172908</v>
      </c>
      <c r="N469" s="887">
        <f t="shared" si="209"/>
        <v>254094.72</v>
      </c>
      <c r="O469" s="887">
        <f t="shared" ca="1" si="207"/>
        <v>21.663653074239413</v>
      </c>
      <c r="P469" s="887">
        <f t="shared" ca="1" si="208"/>
        <v>21.663653074239413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1172908</v>
      </c>
      <c r="M470" s="881">
        <f t="shared" ca="1" si="210"/>
        <v>1172908</v>
      </c>
      <c r="N470" s="881">
        <f t="shared" si="210"/>
        <v>254094.72</v>
      </c>
      <c r="O470" s="881">
        <f t="shared" ca="1" si="207"/>
        <v>21.663653074239413</v>
      </c>
      <c r="P470" s="881">
        <f t="shared" ca="1" si="208"/>
        <v>21.663653074239413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IFERROR(__xludf.DUMMYFUNCTION("IMPORTRANGE(""https://docs.google.com/spreadsheets/d/1QqKyyYR6Q21VydFLVH3TRQUabQu_ym0Zz7PgGX0-kHA/edit?usp=sharing"",""แผน!FS85"")"),1172908)</f>
        <v>1172908</v>
      </c>
      <c r="M472" s="887">
        <f ca="1">L472</f>
        <v>1172908</v>
      </c>
      <c r="N472" s="887">
        <f>N473+N474+N475+N476</f>
        <v>254094.72</v>
      </c>
      <c r="O472" s="887">
        <f t="shared" ca="1" si="207"/>
        <v>21.663653074239413</v>
      </c>
      <c r="P472" s="887">
        <f t="shared" ca="1" si="208"/>
        <v>21.663653074239413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161485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65000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v>27609.72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IFERROR(__xludf.DUMMYFUNCTION("IMPORTRANGE(""https://docs.google.com/spreadsheets/d/1QqKyyYR6Q21VydFLVH3TRQUabQu_ym0Zz7PgGX0-kHA/edit?usp=sharing"",""แผน!FV85"")"),0)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IFERROR(__xludf.DUMMYFUNCTION("IMPORTRANGE(""https://docs.google.com/spreadsheets/d/1QqKyyYR6Q21VydFLVH3TRQUabQu_ym0Zz7PgGX0-kHA/edit?usp=sharing"",""แผน!FY85"")"),1170)</f>
        <v>1170</v>
      </c>
      <c r="J483" s="1012">
        <v>1455</v>
      </c>
      <c r="K483" s="881">
        <f ca="1">IF(I483&gt;0,J483*100/I483,0)</f>
        <v>124.35897435897436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0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IFERROR(__xludf.DUMMYFUNCTION("IMPORTRANGE(""https://docs.google.com/spreadsheets/d/1QqKyyYR6Q21VydFLVH3TRQUabQu_ym0Zz7PgGX0-kHA/edit?usp=sharing"",""แผน!FZ85"")"),117)</f>
        <v>117</v>
      </c>
      <c r="J485" s="1012">
        <v>117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IFERROR(__xludf.DUMMYFUNCTION("IMPORTRANGE(""https://docs.google.com/spreadsheets/d/1QqKyyYR6Q21VydFLVH3TRQUabQu_ym0Zz7PgGX0-kHA/edit?usp=sharing"",""แผน!GA85"")"),130)</f>
        <v>130</v>
      </c>
      <c r="J487" s="1012">
        <v>159</v>
      </c>
      <c r="K487" s="881">
        <f ca="1">IF(I487&gt;0,J487*100/I487,0)</f>
        <v>122.30769230769231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0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IFERROR(__xludf.DUMMYFUNCTION("IMPORTRANGE(""https://docs.google.com/spreadsheets/d/1QqKyyYR6Q21VydFLVH3TRQUabQu_ym0Zz7PgGX0-kHA/edit?usp=sharing"",""แผน!GB85"")"),13)</f>
        <v>13</v>
      </c>
      <c r="J489" s="1012">
        <v>13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IFERROR(__xludf.DUMMYFUNCTION("IMPORTRANGE(""https://docs.google.com/spreadsheets/d/1QqKyyYR6Q21VydFLVH3TRQUabQu_ym0Zz7PgGX0-kHA/edit?usp=sharing"",""แผน!GC85"")"),1)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IFERROR(__xludf.DUMMYFUNCTION("IMPORTRANGE(""https://docs.google.com/spreadsheets/d/1QqKyyYR6Q21VydFLVH3TRQUabQu_ym0Zz7PgGX0-kHA/edit?usp=sharing"",""แผน!FY85"")"),1170)</f>
        <v>1170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IFERROR(__xludf.DUMMYFUNCTION("IMPORTRANGE(""https://docs.google.com/spreadsheets/d/1QqKyyYR6Q21VydFLVH3TRQUabQu_ym0Zz7PgGX0-kHA/edit?usp=sharing"",""แผน!GA85"")"),130)</f>
        <v>130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0</v>
      </c>
      <c r="J522" s="1377">
        <f t="shared" ca="1" si="225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0</v>
      </c>
      <c r="M523" s="1020">
        <f t="shared" si="226"/>
        <v>0</v>
      </c>
      <c r="N523" s="1020">
        <f t="shared" si="226"/>
        <v>0</v>
      </c>
      <c r="O523" s="1020">
        <f t="shared" ref="O523:O528" ca="1" si="227">IF(L523&gt;0,N523*100/L523,0)</f>
        <v>0</v>
      </c>
      <c r="P523" s="1020">
        <f t="shared" ref="P523:P528" si="228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0</v>
      </c>
      <c r="M525" s="887">
        <f t="shared" si="229"/>
        <v>0</v>
      </c>
      <c r="N525" s="887">
        <f t="shared" si="229"/>
        <v>0</v>
      </c>
      <c r="O525" s="887">
        <f t="shared" ca="1" si="227"/>
        <v>0</v>
      </c>
      <c r="P525" s="887">
        <f t="shared" si="228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0</v>
      </c>
      <c r="M526" s="881">
        <f t="shared" si="230"/>
        <v>0</v>
      </c>
      <c r="N526" s="881">
        <f t="shared" si="230"/>
        <v>0</v>
      </c>
      <c r="O526" s="881">
        <f t="shared" ca="1" si="227"/>
        <v>0</v>
      </c>
      <c r="P526" s="881">
        <f t="shared" si="228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IFERROR(__xludf.DUMMYFUNCTION("IMPORTRANGE(""https://docs.google.com/spreadsheets/d/1QqKyyYR6Q21VydFLVH3TRQUabQu_ym0Zz7PgGX0-kHA/edit?usp=sharing"",""แผน!GQ85"")"),0)</f>
        <v>0</v>
      </c>
      <c r="M528" s="887">
        <v>0</v>
      </c>
      <c r="N528" s="887">
        <f>N529+N530+N531+N532</f>
        <v>0</v>
      </c>
      <c r="O528" s="887">
        <f t="shared" ca="1" si="227"/>
        <v>0</v>
      </c>
      <c r="P528" s="887">
        <f t="shared" si="228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IFERROR(__xludf.DUMMYFUNCTION("IMPORTRANGE(""https://docs.google.com/spreadsheets/d/1QqKyyYR6Q21VydFLVH3TRQUabQu_ym0Zz7PgGX0-kHA/edit?usp=sharing"",""แผน!GT85"")"),0)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IFERROR(__xludf.DUMMYFUNCTION("IMPORTRANGE(""https://docs.google.com/spreadsheets/d/1QqKyyYR6Q21VydFLVH3TRQUabQu_ym0Zz7PgGX0-kHA/edit?usp=sharing"",""แผน!GU85"")"),0)</f>
        <v>0</v>
      </c>
      <c r="J537" s="1019">
        <f ca="1">IF(AND(J538=I538,J539=I539,J540=I540,J541=I541),I537,0)</f>
        <v>0</v>
      </c>
      <c r="K537" s="881">
        <f t="shared" ref="K537:K543" ca="1" si="234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IFERROR(__xludf.DUMMYFUNCTION("IMPORTRANGE(""https://docs.google.com/spreadsheets/d/1QqKyyYR6Q21VydFLVH3TRQUabQu_ym0Zz7PgGX0-kHA/edit?usp=sharing"",""แผน!GV85"")"),0)</f>
        <v>0</v>
      </c>
      <c r="J538" s="1012">
        <v>0</v>
      </c>
      <c r="K538" s="881">
        <f t="shared" ca="1" si="234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IFERROR(__xludf.DUMMYFUNCTION("IMPORTRANGE(""https://docs.google.com/spreadsheets/d/1QqKyyYR6Q21VydFLVH3TRQUabQu_ym0Zz7PgGX0-kHA/edit?usp=sharing"",""แผน!GW85"")"),0)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IFERROR(__xludf.DUMMYFUNCTION("IMPORTRANGE(""https://docs.google.com/spreadsheets/d/1QqKyyYR6Q21VydFLVH3TRQUabQu_ym0Zz7PgGX0-kHA/edit?usp=sharing"",""แผน!GX85"")"),0)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IFERROR(__xludf.DUMMYFUNCTION("IMPORTRANGE(""https://docs.google.com/spreadsheets/d/1QqKyyYR6Q21VydFLVH3TRQUabQu_ym0Zz7PgGX0-kHA/edit?usp=sharing"",""แผน!GY85"")"),0)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IFERROR(__xludf.DUMMYFUNCTION("IMPORTRANGE(""https://docs.google.com/spreadsheets/d/1QqKyyYR6Q21VydFLVH3TRQUabQu_ym0Zz7PgGX0-kHA/edit?usp=sharing"",""แผน!GZ85"")"),0)</f>
        <v>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0</v>
      </c>
      <c r="J543" s="1384">
        <f t="shared" si="235"/>
        <v>0</v>
      </c>
      <c r="K543" s="1385">
        <f t="shared" ca="1" si="234"/>
        <v>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218100</v>
      </c>
      <c r="M544" s="992">
        <f t="shared" ca="1" si="236"/>
        <v>218100</v>
      </c>
      <c r="N544" s="992">
        <f t="shared" si="236"/>
        <v>26687</v>
      </c>
      <c r="O544" s="992">
        <f t="shared" ref="O544:O549" ca="1" si="237">IF(L544&gt;0,N544*100/L544,0)</f>
        <v>12.236130215497479</v>
      </c>
      <c r="P544" s="992">
        <f t="shared" ref="P544:P549" ca="1" si="238">IF(M544&gt;0,N544*100/M544,0)</f>
        <v>12.236130215497479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218100</v>
      </c>
      <c r="M546" s="887">
        <f t="shared" ca="1" si="240"/>
        <v>218100</v>
      </c>
      <c r="N546" s="887">
        <f t="shared" si="240"/>
        <v>26687</v>
      </c>
      <c r="O546" s="887">
        <f t="shared" ca="1" si="237"/>
        <v>12.236130215497479</v>
      </c>
      <c r="P546" s="887">
        <f t="shared" ca="1" si="238"/>
        <v>12.236130215497479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218100</v>
      </c>
      <c r="M547" s="881">
        <f t="shared" ca="1" si="241"/>
        <v>218100</v>
      </c>
      <c r="N547" s="881">
        <f t="shared" si="241"/>
        <v>26687</v>
      </c>
      <c r="O547" s="881">
        <f t="shared" ca="1" si="237"/>
        <v>12.236130215497479</v>
      </c>
      <c r="P547" s="881">
        <f t="shared" ca="1" si="238"/>
        <v>12.236130215497479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IFERROR(__xludf.DUMMYFUNCTION("IMPORTRANGE(""https://docs.google.com/spreadsheets/d/1QqKyyYR6Q21VydFLVH3TRQUabQu_ym0Zz7PgGX0-kHA/edit?usp=sharing"",""แผน!HB85"")"),218100)</f>
        <v>218100</v>
      </c>
      <c r="M549" s="887">
        <f ca="1">L549</f>
        <v>218100</v>
      </c>
      <c r="N549" s="887">
        <f>N550+N551+N552+N553+N554</f>
        <v>26687</v>
      </c>
      <c r="O549" s="887">
        <f t="shared" ca="1" si="237"/>
        <v>12.236130215497479</v>
      </c>
      <c r="P549" s="887">
        <f t="shared" ca="1" si="238"/>
        <v>12.236130215497479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0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v>17187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9500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IFERROR(__xludf.DUMMYFUNCTION("IMPORTRANGE(""https://docs.google.com/spreadsheets/d/1QqKyyYR6Q21VydFLVH3TRQUabQu_ym0Zz7PgGX0-kHA/edit?usp=sharing"",""แผน!HF85"")"),0)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 hidden="1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 hidden="1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0</v>
      </c>
      <c r="J559" s="1377">
        <f t="shared" si="245"/>
        <v>0</v>
      </c>
      <c r="K559" s="1378">
        <f t="shared" ref="K559:K561" ca="1" si="246">IF(I559&gt;0,J559*100/I559,0)</f>
        <v>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 hidden="1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IFERROR(__xludf.DUMMYFUNCTION("IMPORTRANGE(""https://docs.google.com/spreadsheets/d/1QqKyyYR6Q21VydFLVH3TRQUabQu_ym0Zz7PgGX0-kHA/edit?usp=sharing"",""แผน!HH85"")"),0)</f>
        <v>0</v>
      </c>
      <c r="J560" s="1018">
        <f t="shared" ref="J560:J561" si="247">J562+J564+J566</f>
        <v>0</v>
      </c>
      <c r="K560" s="1162">
        <f t="shared" ca="1" si="246"/>
        <v>0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 hidden="1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IFERROR(__xludf.DUMMYFUNCTION("IMPORTRANGE(""https://docs.google.com/spreadsheets/d/1QqKyyYR6Q21VydFLVH3TRQUabQu_ym0Zz7PgGX0-kHA/edit?usp=sharing"",""แผน!HG85"")"),0)</f>
        <v>0</v>
      </c>
      <c r="J561" s="1018">
        <f t="shared" si="247"/>
        <v>0</v>
      </c>
      <c r="K561" s="1162">
        <f t="shared" ca="1" si="246"/>
        <v>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 hidden="1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0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 hidden="1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0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 hidden="1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0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 hidden="1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0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 hidden="1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0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 hidden="1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0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 hidden="1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IFERROR(__xludf.DUMMYFUNCTION("IMPORTRANGE(""https://docs.google.com/spreadsheets/d/1QqKyyYR6Q21VydFLVH3TRQUabQu_ym0Zz7PgGX0-kHA/edit?usp=sharing"",""แผน!HH85"")"),0)</f>
        <v>0</v>
      </c>
      <c r="J568" s="1019">
        <f t="shared" ref="J568:J569" si="248">J570+J572+J574</f>
        <v>0</v>
      </c>
      <c r="K568" s="1162">
        <f t="shared" ref="K568:K569" ca="1" si="249">IF(I568&gt;0,J568*100/I568,0)</f>
        <v>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 hidden="1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IFERROR(__xludf.DUMMYFUNCTION("IMPORTRANGE(""https://docs.google.com/spreadsheets/d/1QqKyyYR6Q21VydFLVH3TRQUabQu_ym0Zz7PgGX0-kHA/edit?usp=sharing"",""แผน!HG85"")"),0)</f>
        <v>0</v>
      </c>
      <c r="J569" s="1019">
        <f t="shared" si="248"/>
        <v>0</v>
      </c>
      <c r="K569" s="1162">
        <f t="shared" ca="1" si="249"/>
        <v>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 hidden="1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0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 hidden="1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0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 hidden="1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0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 hidden="1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0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 hidden="1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0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 hidden="1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0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 hidden="1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IFERROR(__xludf.DUMMYFUNCTION("IMPORTRANGE(""https://docs.google.com/spreadsheets/d/1QqKyyYR6Q21VydFLVH3TRQUabQu_ym0Zz7PgGX0-kHA/edit?usp=sharing"",""แผน!HH85"")"),0)</f>
        <v>0</v>
      </c>
      <c r="J576" s="1019">
        <f t="shared" ref="J576:J577" si="250">J578+J580+J582+J588+J590</f>
        <v>0</v>
      </c>
      <c r="K576" s="1162">
        <f t="shared" ref="K576:K577" ca="1" si="251">IF(I576&gt;0,J576*100/I576,0)</f>
        <v>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 hidden="1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IFERROR(__xludf.DUMMYFUNCTION("IMPORTRANGE(""https://docs.google.com/spreadsheets/d/1QqKyyYR6Q21VydFLVH3TRQUabQu_ym0Zz7PgGX0-kHA/edit?usp=sharing"",""แผน!HG85"")"),0)</f>
        <v>0</v>
      </c>
      <c r="J577" s="1019">
        <f t="shared" si="250"/>
        <v>0</v>
      </c>
      <c r="K577" s="1162">
        <f t="shared" ca="1" si="251"/>
        <v>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 hidden="1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0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 hidden="1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0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 hidden="1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0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 hidden="1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 hidden="1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0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 hidden="1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 hidden="1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0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 hidden="1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0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 hidden="1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 hidden="1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 hidden="1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 hidden="1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 hidden="1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 hidden="1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5413.65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IFERROR(__xludf.DUMMYFUNCTION("IMPORTRANGE(""https://docs.google.com/spreadsheets/d/1QqKyyYR6Q21VydFLVH3TRQUabQu_ym0Zz7PgGX0-kHA/edit?usp=sharing"",""แผน!HJ85"")"),5413.65)</f>
        <v>5413.65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IFERROR(__xludf.DUMMYFUNCTION("IMPORTRANGE(""https://docs.google.com/spreadsheets/d/1QqKyyYR6Q21VydFLVH3TRQUabQu_ym0Zz7PgGX0-kHA/edit?usp=sharing"",""แผน!HI85"")"),507)</f>
        <v>507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IFERROR(__xludf.DUMMYFUNCTION("IMPORTRANGE(""https://docs.google.com/spreadsheets/d/1QqKyyYR6Q21VydFLVH3TRQUabQu_ym0Zz7PgGX0-kHA/edit?usp=sharing"",""แผน!HL85"")"),0)</f>
        <v>0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IFERROR(__xludf.DUMMYFUNCTION("IMPORTRANGE(""https://docs.google.com/spreadsheets/d/1QqKyyYR6Q21VydFLVH3TRQUabQu_ym0Zz7PgGX0-kHA/edit?usp=sharing"",""แผน!HK85"")"),0)</f>
        <v>0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7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164050</v>
      </c>
      <c r="M629" s="1020">
        <f t="shared" ca="1" si="263"/>
        <v>164050</v>
      </c>
      <c r="N629" s="1020">
        <f t="shared" si="263"/>
        <v>26440</v>
      </c>
      <c r="O629" s="1020">
        <f t="shared" ref="O629:O634" ca="1" si="264">IF(L629&gt;0,N629*100/L629,0)</f>
        <v>16.117037488570556</v>
      </c>
      <c r="P629" s="1020">
        <f t="shared" ref="P629:P634" ca="1" si="265">IF(M629&gt;0,N629*100/M629,0)</f>
        <v>16.117037488570556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164050</v>
      </c>
      <c r="M631" s="887">
        <f t="shared" ca="1" si="266"/>
        <v>164050</v>
      </c>
      <c r="N631" s="887">
        <f t="shared" si="266"/>
        <v>26440</v>
      </c>
      <c r="O631" s="887">
        <f t="shared" ca="1" si="264"/>
        <v>16.117037488570556</v>
      </c>
      <c r="P631" s="887">
        <f t="shared" ca="1" si="265"/>
        <v>16.117037488570556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164050</v>
      </c>
      <c r="M632" s="881">
        <f t="shared" ca="1" si="267"/>
        <v>164050</v>
      </c>
      <c r="N632" s="881">
        <f t="shared" si="267"/>
        <v>26440</v>
      </c>
      <c r="O632" s="881">
        <f t="shared" ca="1" si="264"/>
        <v>16.117037488570556</v>
      </c>
      <c r="P632" s="881">
        <f t="shared" ca="1" si="265"/>
        <v>16.117037488570556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IFERROR(__xludf.DUMMYFUNCTION("IMPORTRANGE(""https://docs.google.com/spreadsheets/d/1QqKyyYR6Q21VydFLVH3TRQUabQu_ym0Zz7PgGX0-kHA/edit?usp=sharing"",""แผน!HN85"")"),164050)</f>
        <v>164050</v>
      </c>
      <c r="M634" s="887">
        <f ca="1">L634</f>
        <v>164050</v>
      </c>
      <c r="N634" s="887">
        <f>N635+N636+N637+N638</f>
        <v>26440</v>
      </c>
      <c r="O634" s="887">
        <f t="shared" ca="1" si="264"/>
        <v>16.117037488570556</v>
      </c>
      <c r="P634" s="887">
        <f t="shared" ca="1" si="265"/>
        <v>16.117037488570556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26440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IFERROR(__xludf.DUMMYFUNCTION("IMPORTRANGE(""https://docs.google.com/spreadsheets/d/1QqKyyYR6Q21VydFLVH3TRQUabQu_ym0Zz7PgGX0-kHA/edit?usp=sharing"",""แผน!HQ85"")"),0)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IFERROR(__xludf.DUMMYFUNCTION("IMPORTRANGE(""https://docs.google.com/spreadsheets/d/1QqKyyYR6Q21VydFLVH3TRQUabQu_ym0Zz7PgGX0-kHA/edit?usp=sharing"",""แผน!HR85"")"),0)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IFERROR(__xludf.DUMMYFUNCTION("IMPORTRANGE(""https://docs.google.com/spreadsheets/d/1QqKyyYR6Q21VydFLVH3TRQUabQu_ym0Zz7PgGX0-kHA/edit?usp=sharing"",""แผน!HR85"")"),0)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IFERROR(__xludf.DUMMYFUNCTION("IMPORTRANGE(""https://docs.google.com/spreadsheets/d/1XWAQStnk-4SwqDmLtmXYiTMKHgktTP8We1SCoS47DrQ/edit?usp=sharing"",""จัดที่ดิน!AS85"")"),3)</f>
        <v>3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IFERROR(__xludf.DUMMYFUNCTION("IMPORTRANGE(""https://docs.google.com/spreadsheets/d/1XWAQStnk-4SwqDmLtmXYiTMKHgktTP8We1SCoS47DrQ/edit?usp=sharing"",""จัดที่ดิน!AT85"")"),2.26)</f>
        <v>2.2599999999999998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IFERROR(__xludf.DUMMYFUNCTION("IMPORTRANGE(""https://docs.google.com/spreadsheets/d/1QqKyyYR6Q21VydFLVH3TRQUabQu_ym0Zz7PgGX0-kHA/edit?usp=sharing"",""แผน!HS85"")"),7)</f>
        <v>7</v>
      </c>
      <c r="J647" s="880">
        <f ca="1">IFERROR(__xludf.DUMMYFUNCTION("IMPORTRANGE(""https://docs.google.com/spreadsheets/d/1XWAQStnk-4SwqDmLtmXYiTMKHgktTP8We1SCoS47DrQ/edit?usp=sharing"",""จัดที่ดิน!AU85"")"),0)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IFERROR(__xludf.DUMMYFUNCTION("IMPORTRANGE(""https://docs.google.com/spreadsheets/d/1XWAQStnk-4SwqDmLtmXYiTMKHgktTP8We1SCoS47DrQ/edit?usp=sharing"",""จัดที่ดิน!AV85"")"),0)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IFERROR(__xludf.DUMMYFUNCTION("IMPORTRANGE(""https://docs.google.com/spreadsheets/d/1QqKyyYR6Q21VydFLVH3TRQUabQu_ym0Zz7PgGX0-kHA/edit?usp=sharing"",""แผน!HS85"")"),7)</f>
        <v>7</v>
      </c>
      <c r="J649" s="880">
        <f ca="1">IFERROR(__xludf.DUMMYFUNCTION("IMPORTRANGE(""https://docs.google.com/spreadsheets/d/1XWAQStnk-4SwqDmLtmXYiTMKHgktTP8We1SCoS47DrQ/edit?usp=sharing"",""จัดที่ดิน!AW85"")"),1)</f>
        <v>1</v>
      </c>
      <c r="K649" s="998">
        <f t="shared" ca="1" si="271"/>
        <v>14.285714285714286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IFERROR(__xludf.DUMMYFUNCTION("IMPORTRANGE(""https://docs.google.com/spreadsheets/d/1XWAQStnk-4SwqDmLtmXYiTMKHgktTP8We1SCoS47DrQ/edit?usp=sharing"",""จัดที่ดิน!AX85"")"),2.04)</f>
        <v>2.04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IFERROR(__xludf.DUMMYFUNCTION("IMPORTRANGE(""https://docs.google.com/spreadsheets/d/1QqKyyYR6Q21VydFLVH3TRQUabQu_ym0Zz7PgGX0-kHA/edit?usp=sharing"",""แผน!HS85"")"),7)</f>
        <v>7</v>
      </c>
      <c r="J651" s="880">
        <f ca="1">IFERROR(__xludf.DUMMYFUNCTION("IMPORTRANGE(""https://docs.google.com/spreadsheets/d/1XWAQStnk-4SwqDmLtmXYiTMKHgktTP8We1SCoS47DrQ/edit?usp=sharing"",""จัดที่ดิน!AY85"")"),0)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IFERROR(__xludf.DUMMYFUNCTION("IMPORTRANGE(""https://docs.google.com/spreadsheets/d/1XWAQStnk-4SwqDmLtmXYiTMKHgktTP8We1SCoS47DrQ/edit?usp=sharing"",""จัดที่ดิน!AZ85"")"),0)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 hidden="1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0</v>
      </c>
      <c r="M655" s="1020">
        <f t="shared" si="273"/>
        <v>0</v>
      </c>
      <c r="N655" s="1020">
        <f t="shared" si="273"/>
        <v>0</v>
      </c>
      <c r="O655" s="1020">
        <f t="shared" ref="O655:O660" ca="1" si="274">IF(L655&gt;0,N655*100/L655,0)</f>
        <v>0</v>
      </c>
      <c r="P655" s="1020">
        <f t="shared" ref="P655:P660" si="275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0</v>
      </c>
      <c r="M657" s="887">
        <f t="shared" si="276"/>
        <v>0</v>
      </c>
      <c r="N657" s="887">
        <f t="shared" si="276"/>
        <v>0</v>
      </c>
      <c r="O657" s="887">
        <f t="shared" ca="1" si="274"/>
        <v>0</v>
      </c>
      <c r="P657" s="887">
        <f t="shared" si="275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0</v>
      </c>
      <c r="M658" s="881">
        <f t="shared" si="277"/>
        <v>0</v>
      </c>
      <c r="N658" s="881">
        <f t="shared" si="277"/>
        <v>0</v>
      </c>
      <c r="O658" s="881">
        <f t="shared" ca="1" si="274"/>
        <v>0</v>
      </c>
      <c r="P658" s="881">
        <f t="shared" si="275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IFERROR(__xludf.DUMMYFUNCTION("IMPORTRANGE(""https://docs.google.com/spreadsheets/d/1QqKyyYR6Q21VydFLVH3TRQUabQu_ym0Zz7PgGX0-kHA/edit?usp=sharing"",""แผน!HV85"")"),0)</f>
        <v>0</v>
      </c>
      <c r="M660" s="887">
        <v>0</v>
      </c>
      <c r="N660" s="887">
        <f>N661+N662+N663+N664</f>
        <v>0</v>
      </c>
      <c r="O660" s="887">
        <f t="shared" ca="1" si="274"/>
        <v>0</v>
      </c>
      <c r="P660" s="887">
        <f t="shared" si="275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IFERROR(__xludf.DUMMYFUNCTION("IMPORTRANGE(""https://docs.google.com/spreadsheets/d/1QqKyyYR6Q21VydFLVH3TRQUabQu_ym0Zz7PgGX0-kHA/edit?usp=sharing"",""แผน!IA85"")"),0)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IFERROR(__xludf.DUMMYFUNCTION("IMPORTRANGE(""https://docs.google.com/spreadsheets/d/1QqKyyYR6Q21VydFLVH3TRQUabQu_ym0Zz7PgGX0-kHA/edit?usp=sharing"",""แผน!HZ85"")"),0)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IFERROR(__xludf.DUMMYFUNCTION("IMPORTRANGE(""https://docs.google.com/spreadsheets/d/1QqKyyYR6Q21VydFLVH3TRQUabQu_ym0Zz7PgGX0-kHA/edit?usp=sharing"",""แผน!HZ85"")"),0)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IFERROR(__xludf.DUMMYFUNCTION("IMPORTRANGE(""https://docs.google.com/spreadsheets/d/1QqKyyYR6Q21VydFLVH3TRQUabQu_ym0Zz7PgGX0-kHA/edit?usp=sharing"",""แผน!IB85"")"),0)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IFERROR(__xludf.DUMMYFUNCTION("IMPORTRANGE(""https://docs.google.com/spreadsheets/d/1QqKyyYR6Q21VydFLVH3TRQUabQu_ym0Zz7PgGX0-kHA/edit?usp=sharing"",""แผน!HW85"")"),0)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IFERROR(__xludf.DUMMYFUNCTION("IMPORTRANGE(""https://docs.google.com/spreadsheets/d/1QqKyyYR6Q21VydFLVH3TRQUabQu_ym0Zz7PgGX0-kHA/edit?usp=sharing"",""แผน!IC85"")"),0)</f>
        <v>0</v>
      </c>
      <c r="J699" s="880">
        <f ca="1">IFERROR(__xludf.DUMMYFUNCTION("IMPORTRANGE(""https://docs.google.com/spreadsheets/d/1XWAQStnk-4SwqDmLtmXYiTMKHgktTP8We1SCoS47DrQ/edit?usp=sharing"",""จัดที่ดิน!BB85"")"),0)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IFERROR(__xludf.DUMMYFUNCTION("IMPORTRANGE(""https://docs.google.com/spreadsheets/d/1QqKyyYR6Q21VydFLVH3TRQUabQu_ym0Zz7PgGX0-kHA/edit?usp=sharing"",""แผน!ID85"")"),0)</f>
        <v>0</v>
      </c>
      <c r="J700" s="880">
        <f ca="1">IFERROR(__xludf.DUMMYFUNCTION("IMPORTRANGE(""https://docs.google.com/spreadsheets/d/1XWAQStnk-4SwqDmLtmXYiTMKHgktTP8We1SCoS47DrQ/edit?usp=sharing"",""จัดที่ดิน!BD85"")"),0)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IFERROR(__xludf.DUMMYFUNCTION("IMPORTRANGE(""https://docs.google.com/spreadsheets/d/1QqKyyYR6Q21VydFLVH3TRQUabQu_ym0Zz7PgGX0-kHA/edit?usp=sharing"",""แผน!IE85"")"),0)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IFERROR(__xludf.DUMMYFUNCTION("IMPORTRANGE(""https://docs.google.com/spreadsheets/d/1QqKyyYR6Q21VydFLVH3TRQUabQu_ym0Zz7PgGX0-kHA/edit?usp=sharing"",""แผน!IF85"")"),0)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IFERROR(__xludf.DUMMYFUNCTION("IMPORTRANGE(""https://docs.google.com/spreadsheets/d/1QqKyyYR6Q21VydFLVH3TRQUabQu_ym0Zz7PgGX0-kHA/edit?usp=sharing"",""แผน!IG85"")"),0)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IFERROR(__xludf.DUMMYFUNCTION("IMPORTRANGE(""https://docs.google.com/spreadsheets/d/1QqKyyYR6Q21VydFLVH3TRQUabQu_ym0Zz7PgGX0-kHA/edit?usp=sharing"",""แผน!IH85"")"),0)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IFERROR(__xludf.DUMMYFUNCTION("IMPORTRANGE(""https://docs.google.com/spreadsheets/d/1XWAQStnk-4SwqDmLtmXYiTMKHgktTP8We1SCoS47DrQ/edit?usp=sharing"",""จัดที่ดิน!BF85"")"),0)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IFERROR(__xludf.DUMMYFUNCTION("IMPORTRANGE(""https://docs.google.com/spreadsheets/d/1XWAQStnk-4SwqDmLtmXYiTMKHgktTP8We1SCoS47DrQ/edit?usp=sharing"",""จัดที่ดิน!BG85"")"),0)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IFERROR(__xludf.DUMMYFUNCTION("IMPORTRANGE(""https://docs.google.com/spreadsheets/d/1QqKyyYR6Q21VydFLVH3TRQUabQu_ym0Zz7PgGX0-kHA/edit?usp=sharing"",""แผน!II85"")"),0)</f>
        <v>0</v>
      </c>
      <c r="J720" s="880">
        <f ca="1">IFERROR(__xludf.DUMMYFUNCTION("IMPORTRANGE(""https://docs.google.com/spreadsheets/d/1XWAQStnk-4SwqDmLtmXYiTMKHgktTP8We1SCoS47DrQ/edit?usp=sharing"",""จัดที่ดิน!BH85"")"),0)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IFERROR(__xludf.DUMMYFUNCTION("IMPORTRANGE(""https://docs.google.com/spreadsheets/d/1QqKyyYR6Q21VydFLVH3TRQUabQu_ym0Zz7PgGX0-kHA/edit?usp=sharing"",""แผน!IJ85"")"),0)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IFERROR(__xludf.DUMMYFUNCTION("IMPORTRANGE(""https://docs.google.com/spreadsheets/d/1QqKyyYR6Q21VydFLVH3TRQUabQu_ym0Zz7PgGX0-kHA/edit?usp=sharing"",""แผน!IK85"")"),0)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IFERROR(__xludf.DUMMYFUNCTION("IMPORTRANGE(""https://docs.google.com/spreadsheets/d/1QqKyyYR6Q21VydFLVH3TRQUabQu_ym0Zz7PgGX0-kHA/edit?usp=sharing"",""แผน!IL85"")"),0)</f>
        <v>0</v>
      </c>
      <c r="J723" s="880">
        <f ca="1">IFERROR(__xludf.DUMMYFUNCTION("IMPORTRANGE(""https://docs.google.com/spreadsheets/d/1XWAQStnk-4SwqDmLtmXYiTMKHgktTP8We1SCoS47DrQ/edit?usp=sharing"",""จัดที่ดิน!BM85"")"),0)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IFERROR(__xludf.DUMMYFUNCTION("IMPORTRANGE(""https://docs.google.com/spreadsheets/d/1XWAQStnk-4SwqDmLtmXYiTMKHgktTP8We1SCoS47DrQ/edit?usp=sharing"",""จัดที่ดิน!BN85"")"),0)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IFERROR(__xludf.DUMMYFUNCTION("IMPORTRANGE(""https://docs.google.com/spreadsheets/d/1QqKyyYR6Q21VydFLVH3TRQUabQu_ym0Zz7PgGX0-kHA/edit?usp=sharing"",""แผน!IM85"")"),0)</f>
        <v>0</v>
      </c>
      <c r="J725" s="880">
        <f ca="1">IFERROR(__xludf.DUMMYFUNCTION("IMPORTRANGE(""https://docs.google.com/spreadsheets/d/1XWAQStnk-4SwqDmLtmXYiTMKHgktTP8We1SCoS47DrQ/edit?usp=sharing"",""จัดที่ดิน!BO85"")"),0)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IFERROR(__xludf.DUMMYFUNCTION("IMPORTRANGE(""https://docs.google.com/spreadsheets/d/1QqKyyYR6Q21VydFLVH3TRQUabQu_ym0Zz7PgGX0-kHA/edit?usp=sharing"",""แผน!IN85"")"),0)</f>
        <v>0</v>
      </c>
      <c r="J726" s="880">
        <f ca="1">IFERROR(__xludf.DUMMYFUNCTION("IMPORTRANGE(""https://docs.google.com/spreadsheets/d/1XWAQStnk-4SwqDmLtmXYiTMKHgktTP8We1SCoS47DrQ/edit?usp=sharing"",""จัดที่ดิน!BR85"")"),0)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IFERROR(__xludf.DUMMYFUNCTION("IMPORTRANGE(""https://docs.google.com/spreadsheets/d/1XWAQStnk-4SwqDmLtmXYiTMKHgktTP8We1SCoS47DrQ/edit?usp=sharing"",""จัดที่ดิน!BS85"")"),0)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IFERROR(__xludf.DUMMYFUNCTION("IMPORTRANGE(""https://docs.google.com/spreadsheets/d/1QqKyyYR6Q21VydFLVH3TRQUabQu_ym0Zz7PgGX0-kHA/edit?usp=sharing"",""แผน!IO85"")"),0)</f>
        <v>0</v>
      </c>
      <c r="J728" s="880">
        <f ca="1">IFERROR(__xludf.DUMMYFUNCTION("IMPORTRANGE(""https://docs.google.com/spreadsheets/d/1XWAQStnk-4SwqDmLtmXYiTMKHgktTP8We1SCoS47DrQ/edit?usp=sharing"",""จัดที่ดิน!BT85"")"),0)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IFERROR(__xludf.DUMMYFUNCTION("IMPORTRANGE(""https://docs.google.com/spreadsheets/d/1QqKyyYR6Q21VydFLVH3TRQUabQu_ym0Zz7PgGX0-kHA/edit?usp=sharing"",""แผน!IP85"")"),0)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IFERROR(__xludf.DUMMYFUNCTION("IMPORTRANGE(""https://docs.google.com/spreadsheets/d/1QqKyyYR6Q21VydFLVH3TRQUabQu_ym0Zz7PgGX0-kHA/edit?usp=sharing"",""แผน!JJ85"")"),0)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IFERROR(__xludf.DUMMYFUNCTION("IMPORTRANGE(""https://docs.google.com/spreadsheets/d/1QqKyyYR6Q21VydFLVH3TRQUabQu_ym0Zz7PgGX0-kHA/edit?usp=sharing"",""แผน!JN85"")"),0)</f>
        <v>0</v>
      </c>
      <c r="J800" s="997">
        <f ca="1">IFERROR(__xludf.DUMMYFUNCTION("IMPORTRANGE(""https://docs.google.com/spreadsheets/d/1MaWodYyGHDf7siQLGxnXhG4mBNTNIuy296niS2xXulU/edit?usp=sharing"",""RTK!H85"")"),0)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IFERROR(__xludf.DUMMYFUNCTION("IMPORTRANGE(""https://docs.google.com/spreadsheets/d/1MaWodYyGHDf7siQLGxnXhG4mBNTNIuy296niS2xXulU/edit?usp=sharing"",""RTK!I85"")"),0)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>
        <v>0</v>
      </c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>
        <v>0</v>
      </c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343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880">
        <f ca="1">IFERROR(__xludf.DUMMYFUNCTION("IMPORTRANGE(""https://docs.google.com/spreadsheets/d/19vJNZY_5yjcGF2XGBMNZRCAIB0Kwfpjp8YEOfu-bneM/edit?usp=sharing"",""งานกองทุน!F85"")"),508124.43)</f>
        <v>508124.43</v>
      </c>
      <c r="K821" s="881">
        <f t="shared" ref="K821:K828" ca="1" si="335">IF(I821&gt;0,J821*100/I821,0)</f>
        <v>41.705370525085677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IFERROR(__xludf.DUMMYFUNCTION("IMPORTRANGE(""https://docs.google.com/spreadsheets/d/19vJNZY_5yjcGF2XGBMNZRCAIB0Kwfpjp8YEOfu-bneM/edit?usp=sharing"",""งานกองทุน!C85"")"),122)</f>
        <v>122</v>
      </c>
      <c r="J822" s="880">
        <f ca="1">IFERROR(__xludf.DUMMYFUNCTION("IMPORTRANGE(""https://docs.google.com/spreadsheets/d/19vJNZY_5yjcGF2XGBMNZRCAIB0Kwfpjp8YEOfu-bneM/edit?usp=sharing"",""งานกองทุน!E85"")"),51)</f>
        <v>51</v>
      </c>
      <c r="K822" s="881">
        <f t="shared" ca="1" si="335"/>
        <v>41.803278688524593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880">
        <f ca="1">IFERROR(__xludf.DUMMYFUNCTION("IMPORTRANGE(""https://docs.google.com/spreadsheets/d/19vJNZY_5yjcGF2XGBMNZRCAIB0Kwfpjp8YEOfu-bneM/edit?usp=sharing"",""งานกองทุน!K85"")"),354758.42)</f>
        <v>354758.42</v>
      </c>
      <c r="K823" s="881">
        <f t="shared" ca="1" si="335"/>
        <v>17.330100581369919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IFERROR(__xludf.DUMMYFUNCTION("IMPORTRANGE(""https://docs.google.com/spreadsheets/d/19vJNZY_5yjcGF2XGBMNZRCAIB0Kwfpjp8YEOfu-bneM/edit?usp=sharing"",""งานกองทุน!H85"")"),124)</f>
        <v>124</v>
      </c>
      <c r="J824" s="880">
        <f ca="1">IFERROR(__xludf.DUMMYFUNCTION("IMPORTRANGE(""https://docs.google.com/spreadsheets/d/19vJNZY_5yjcGF2XGBMNZRCAIB0Kwfpjp8YEOfu-bneM/edit?usp=sharing"",""งานกองทุน!J85"")"),45)</f>
        <v>45</v>
      </c>
      <c r="K824" s="881">
        <f t="shared" ca="1" si="335"/>
        <v>36.29032258064516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IFERROR(__xludf.DUMMYFUNCTION("IMPORTRANGE(""https://docs.google.com/spreadsheets/d/19vJNZY_5yjcGF2XGBMNZRCAIB0Kwfpjp8YEOfu-bneM/edit?usp=sharing"",""งานกองทุน!N85"")"),0)</f>
        <v>0</v>
      </c>
      <c r="J825" s="880">
        <f ca="1">IFERROR(__xludf.DUMMYFUNCTION("IMPORTRANGE(""https://docs.google.com/spreadsheets/d/19vJNZY_5yjcGF2XGBMNZRCAIB0Kwfpjp8YEOfu-bneM/edit?usp=sharing"",""งานกองทุน!P85"")"),0)</f>
        <v>0</v>
      </c>
      <c r="K825" s="881">
        <f t="shared" ca="1" si="335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IFERROR(__xludf.DUMMYFUNCTION("IMPORTRANGE(""https://docs.google.com/spreadsheets/d/19vJNZY_5yjcGF2XGBMNZRCAIB0Kwfpjp8YEOfu-bneM/edit?usp=sharing"",""งานกองทุน!M85"")"),0)</f>
        <v>0</v>
      </c>
      <c r="J826" s="880">
        <f ca="1">IFERROR(__xludf.DUMMYFUNCTION("IMPORTRANGE(""https://docs.google.com/spreadsheets/d/19vJNZY_5yjcGF2XGBMNZRCAIB0Kwfpjp8YEOfu-bneM/edit?usp=sharing"",""งานกองทุน!O85"")"),0)</f>
        <v>0</v>
      </c>
      <c r="K826" s="881">
        <f t="shared" ca="1" si="335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IFERROR(__xludf.DUMMYFUNCTION("IMPORTRANGE(""https://docs.google.com/spreadsheets/d/19vJNZY_5yjcGF2XGBMNZRCAIB0Kwfpjp8YEOfu-bneM/edit?usp=sharing"",""งานกองทุน!S85"")"),1700000)</f>
        <v>1700000</v>
      </c>
      <c r="J827" s="880">
        <f ca="1">IFERROR(__xludf.DUMMYFUNCTION("IMPORTRANGE(""https://docs.google.com/spreadsheets/d/19vJNZY_5yjcGF2XGBMNZRCAIB0Kwfpjp8YEOfu-bneM/edit?usp=sharing"",""งานกองทุน!U85"")"),900000)</f>
        <v>900000</v>
      </c>
      <c r="K827" s="881">
        <f t="shared" ca="1" si="335"/>
        <v>52.941176470588232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IFERROR(__xludf.DUMMYFUNCTION("IMPORTRANGE(""https://docs.google.com/spreadsheets/d/19vJNZY_5yjcGF2XGBMNZRCAIB0Kwfpjp8YEOfu-bneM/edit?usp=sharing"",""งานกองทุน!R85"")"),68)</f>
        <v>68</v>
      </c>
      <c r="J828" s="1138">
        <f ca="1">IFERROR(__xludf.DUMMYFUNCTION("IMPORTRANGE(""https://docs.google.com/spreadsheets/d/19vJNZY_5yjcGF2XGBMNZRCAIB0Kwfpjp8YEOfu-bneM/edit?usp=sharing"",""งานกองทุน!T85"")"),36)</f>
        <v>36</v>
      </c>
      <c r="K828" s="1239">
        <f t="shared" ca="1" si="335"/>
        <v>52.941176470588232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119B8-7025-4ED0-9EA6-33C8B24D0820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10" width="16.14062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353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5265083</v>
      </c>
      <c r="M8" s="867">
        <f t="shared" ca="1" si="0"/>
        <v>4707616</v>
      </c>
      <c r="N8" s="867">
        <f t="shared" ca="1" si="0"/>
        <v>2852543.6799999997</v>
      </c>
      <c r="O8" s="867">
        <f t="shared" ref="O8:O16" ca="1" si="1">IF(L8&gt;0,N8*100/L8,0)</f>
        <v>54.178513045283424</v>
      </c>
      <c r="P8" s="867">
        <f t="shared" ref="P8:P16" ca="1" si="2">IF(M8&gt;0,N8*100/M8,0)</f>
        <v>60.594230285562801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5265083</v>
      </c>
      <c r="M10" s="874">
        <f t="shared" ca="1" si="3"/>
        <v>4707616</v>
      </c>
      <c r="N10" s="874">
        <f t="shared" ca="1" si="3"/>
        <v>2852543.6799999997</v>
      </c>
      <c r="O10" s="874">
        <f t="shared" ca="1" si="1"/>
        <v>54.178513045283424</v>
      </c>
      <c r="P10" s="874">
        <f t="shared" ca="1" si="2"/>
        <v>60.594230285562801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5094383</v>
      </c>
      <c r="M11" s="881">
        <f t="shared" ca="1" si="4"/>
        <v>4536916</v>
      </c>
      <c r="N11" s="881">
        <f t="shared" ca="1" si="4"/>
        <v>2681843.6799999997</v>
      </c>
      <c r="O11" s="881">
        <f t="shared" ca="1" si="1"/>
        <v>52.643149916290149</v>
      </c>
      <c r="P11" s="881">
        <f t="shared" ca="1" si="2"/>
        <v>59.111600920096379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5094383</v>
      </c>
      <c r="M13" s="887">
        <f t="shared" ca="1" si="5"/>
        <v>4536916</v>
      </c>
      <c r="N13" s="887">
        <f t="shared" ca="1" si="5"/>
        <v>2681843.6799999997</v>
      </c>
      <c r="O13" s="887">
        <f t="shared" ca="1" si="1"/>
        <v>52.643149916290149</v>
      </c>
      <c r="P13" s="887">
        <f t="shared" ca="1" si="2"/>
        <v>59.111600920096379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170700</v>
      </c>
      <c r="M14" s="881">
        <f t="shared" ca="1" si="6"/>
        <v>170700</v>
      </c>
      <c r="N14" s="881">
        <f t="shared" ca="1" si="6"/>
        <v>170700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170700</v>
      </c>
      <c r="M16" s="893">
        <f t="shared" ca="1" si="7"/>
        <v>170700</v>
      </c>
      <c r="N16" s="893">
        <f t="shared" ca="1" si="7"/>
        <v>170700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3382730</v>
      </c>
      <c r="M18" s="867">
        <f t="shared" ca="1" si="8"/>
        <v>2825263</v>
      </c>
      <c r="N18" s="867">
        <f t="shared" ca="1" si="8"/>
        <v>2018398.68</v>
      </c>
      <c r="O18" s="867">
        <f t="shared" ref="O18:O26" ca="1" si="9">IF(L18&gt;0,N18*100/L18,0)</f>
        <v>59.667744100179441</v>
      </c>
      <c r="P18" s="867">
        <f t="shared" ref="P18:P26" ca="1" si="10">IF(M18&gt;0,N18*100/M18,0)</f>
        <v>71.441089909151827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3382730</v>
      </c>
      <c r="M20" s="874">
        <f t="shared" ca="1" si="11"/>
        <v>2825263</v>
      </c>
      <c r="N20" s="874">
        <f t="shared" ca="1" si="11"/>
        <v>2018398.68</v>
      </c>
      <c r="O20" s="874">
        <f t="shared" ca="1" si="9"/>
        <v>59.667744100179441</v>
      </c>
      <c r="P20" s="874">
        <f t="shared" ca="1" si="10"/>
        <v>71.441089909151827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3212030</v>
      </c>
      <c r="M21" s="881">
        <f t="shared" ca="1" si="12"/>
        <v>2654563</v>
      </c>
      <c r="N21" s="881">
        <f t="shared" ca="1" si="12"/>
        <v>1847698.68</v>
      </c>
      <c r="O21" s="881">
        <f t="shared" ca="1" si="9"/>
        <v>57.524328228565736</v>
      </c>
      <c r="P21" s="881">
        <f t="shared" ca="1" si="10"/>
        <v>69.604627202292804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3212030</v>
      </c>
      <c r="M23" s="887">
        <f t="shared" ca="1" si="13"/>
        <v>2654563</v>
      </c>
      <c r="N23" s="887">
        <f t="shared" ca="1" si="13"/>
        <v>1847698.68</v>
      </c>
      <c r="O23" s="887">
        <f t="shared" ca="1" si="9"/>
        <v>57.524328228565736</v>
      </c>
      <c r="P23" s="887">
        <f t="shared" ca="1" si="10"/>
        <v>69.604627202292804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170700</v>
      </c>
      <c r="M24" s="881">
        <f t="shared" ca="1" si="14"/>
        <v>170700</v>
      </c>
      <c r="N24" s="881">
        <f t="shared" ca="1" si="14"/>
        <v>170700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170700</v>
      </c>
      <c r="M26" s="893">
        <f t="shared" ca="1" si="15"/>
        <v>170700</v>
      </c>
      <c r="N26" s="893">
        <f t="shared" ca="1" si="15"/>
        <v>170700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1882353</v>
      </c>
      <c r="M28" s="867">
        <f t="shared" ca="1" si="16"/>
        <v>1882353</v>
      </c>
      <c r="N28" s="867">
        <f t="shared" si="16"/>
        <v>834145</v>
      </c>
      <c r="O28" s="867">
        <f t="shared" ref="O28:O37" ca="1" si="17">IF(L28&gt;0,N28*100/L28,0)</f>
        <v>44.313951740189005</v>
      </c>
      <c r="P28" s="867">
        <f t="shared" ref="P28:P37" ca="1" si="18">IF(M28&gt;0,N28*100/M28,0)</f>
        <v>44.313951740189005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1882353</v>
      </c>
      <c r="M30" s="874">
        <f t="shared" ca="1" si="19"/>
        <v>1882353</v>
      </c>
      <c r="N30" s="874">
        <f t="shared" si="19"/>
        <v>834145</v>
      </c>
      <c r="O30" s="874">
        <f t="shared" ca="1" si="17"/>
        <v>44.313951740189005</v>
      </c>
      <c r="P30" s="874">
        <f t="shared" ca="1" si="18"/>
        <v>44.313951740189005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1882353</v>
      </c>
      <c r="M31" s="881">
        <f t="shared" ca="1" si="20"/>
        <v>1882353</v>
      </c>
      <c r="N31" s="881">
        <f t="shared" si="20"/>
        <v>834145</v>
      </c>
      <c r="O31" s="881">
        <f t="shared" ca="1" si="17"/>
        <v>44.313951740189005</v>
      </c>
      <c r="P31" s="881">
        <f t="shared" ca="1" si="18"/>
        <v>44.313951740189005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1882353</v>
      </c>
      <c r="M33" s="887">
        <f t="shared" ca="1" si="21"/>
        <v>1882353</v>
      </c>
      <c r="N33" s="887">
        <f t="shared" si="21"/>
        <v>834145</v>
      </c>
      <c r="O33" s="887">
        <f t="shared" ca="1" si="17"/>
        <v>44.313951740189005</v>
      </c>
      <c r="P33" s="887">
        <f t="shared" ca="1" si="18"/>
        <v>44.313951740189005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3382730</v>
      </c>
      <c r="M37" s="900">
        <f t="shared" ca="1" si="24"/>
        <v>2825263</v>
      </c>
      <c r="N37" s="900">
        <f t="shared" ca="1" si="24"/>
        <v>2018398.68</v>
      </c>
      <c r="O37" s="900">
        <f t="shared" ca="1" si="17"/>
        <v>59.667744100179441</v>
      </c>
      <c r="P37" s="900">
        <f t="shared" ca="1" si="18"/>
        <v>71.441089909151827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590800</v>
      </c>
      <c r="M41" s="926">
        <f t="shared" ca="1" si="25"/>
        <v>600868</v>
      </c>
      <c r="N41" s="926">
        <f t="shared" ca="1" si="25"/>
        <v>386673</v>
      </c>
      <c r="O41" s="926">
        <f t="shared" ref="O41:O49" ca="1" si="26">IF(L41&gt;0,N41*100/L41,0)</f>
        <v>65.449052132701425</v>
      </c>
      <c r="P41" s="926">
        <f t="shared" ref="P41:P49" ca="1" si="27">IF(M41&gt;0,N41*100/M41,0)</f>
        <v>64.352403522903529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590800</v>
      </c>
      <c r="M43" s="932">
        <f t="shared" ca="1" si="28"/>
        <v>600868</v>
      </c>
      <c r="N43" s="932">
        <f t="shared" ca="1" si="28"/>
        <v>386673</v>
      </c>
      <c r="O43" s="932">
        <f t="shared" ca="1" si="26"/>
        <v>65.449052132701425</v>
      </c>
      <c r="P43" s="932">
        <f t="shared" ca="1" si="27"/>
        <v>64.352403522903529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590800</v>
      </c>
      <c r="M44" s="881">
        <f t="shared" ca="1" si="29"/>
        <v>600868</v>
      </c>
      <c r="N44" s="881">
        <f t="shared" ca="1" si="29"/>
        <v>386673</v>
      </c>
      <c r="O44" s="881">
        <f t="shared" ca="1" si="26"/>
        <v>65.449052132701425</v>
      </c>
      <c r="P44" s="881">
        <f t="shared" ca="1" si="27"/>
        <v>64.352403522903529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IFERROR(__xludf.DUMMYFUNCTION("IMPORTRANGE(""https://docs.google.com/spreadsheets/d/1MeEWN-I1oV_STSDYn1IFDPWt_1FKiwhDph83XaGc0o0/edit?usp=sharing"",""งบพรบ!M86"")"),590800)</f>
        <v>590800</v>
      </c>
      <c r="M46" s="887">
        <f ca="1">IFERROR(__xludf.DUMMYFUNCTION("IMPORTRANGE(""https://docs.google.com/spreadsheets/d/1MeEWN-I1oV_STSDYn1IFDPWt_1FKiwhDph83XaGc0o0/edit?usp=sharing"",""งบพรบ!R86"")"),600868)</f>
        <v>600868</v>
      </c>
      <c r="N46" s="887">
        <f ca="1">IFERROR(__xludf.DUMMYFUNCTION("IMPORTRANGE(""https://docs.google.com/spreadsheets/d/1MeEWN-I1oV_STSDYn1IFDPWt_1FKiwhDph83XaGc0o0/edit?usp=sharing"",""งบพรบ!T86"")"),386673)</f>
        <v>386673</v>
      </c>
      <c r="O46" s="887">
        <f t="shared" ca="1" si="26"/>
        <v>65.449052132701425</v>
      </c>
      <c r="P46" s="887">
        <f t="shared" ca="1" si="27"/>
        <v>64.352403522903529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IFERROR(__xludf.DUMMYFUNCTION("IMPORTRANGE(""https://docs.google.com/spreadsheets/d/1MeEWN-I1oV_STSDYn1IFDPWt_1FKiwhDph83XaGc0o0/edit?usp=sharing"",""งบพรบ!P86"")"),0)</f>
        <v>0</v>
      </c>
      <c r="M49" s="893">
        <f ca="1">IFERROR(__xludf.DUMMYFUNCTION("IMPORTRANGE(""https://docs.google.com/spreadsheets/d/1MeEWN-I1oV_STSDYn1IFDPWt_1FKiwhDph83XaGc0o0/edit?usp=sharing"",""งบพรบ!S86"")"),0)</f>
        <v>0</v>
      </c>
      <c r="N49" s="893">
        <f ca="1">IFERROR(__xludf.DUMMYFUNCTION("IMPORTRANGE(""https://docs.google.com/spreadsheets/d/1MeEWN-I1oV_STSDYn1IFDPWt_1FKiwhDph83XaGc0o0/edit?usp=sharing"",""งบพรบ!U86"")"),0)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706700</v>
      </c>
      <c r="M53" s="956">
        <f t="shared" ca="1" si="31"/>
        <v>537500</v>
      </c>
      <c r="N53" s="956">
        <f t="shared" ca="1" si="31"/>
        <v>468022.51</v>
      </c>
      <c r="O53" s="956">
        <f t="shared" ref="O53:O61" ca="1" si="32">IF(L53&gt;0,N53*100/L53,0)</f>
        <v>66.22647658129334</v>
      </c>
      <c r="P53" s="956">
        <f t="shared" ref="P53:P61" ca="1" si="33">IF(M53&gt;0,N53*100/M53,0)</f>
        <v>87.073955348837202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706700</v>
      </c>
      <c r="M55" s="962">
        <f t="shared" ca="1" si="34"/>
        <v>537500</v>
      </c>
      <c r="N55" s="962">
        <f t="shared" ca="1" si="34"/>
        <v>468022.51</v>
      </c>
      <c r="O55" s="962">
        <f t="shared" ca="1" si="32"/>
        <v>66.22647658129334</v>
      </c>
      <c r="P55" s="962">
        <f t="shared" ca="1" si="33"/>
        <v>87.073955348837202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676800</v>
      </c>
      <c r="M56" s="881">
        <f t="shared" ca="1" si="35"/>
        <v>507600</v>
      </c>
      <c r="N56" s="881">
        <f t="shared" ca="1" si="35"/>
        <v>438122.51</v>
      </c>
      <c r="O56" s="881">
        <f t="shared" ca="1" si="32"/>
        <v>64.734413416075654</v>
      </c>
      <c r="P56" s="881">
        <f t="shared" ca="1" si="33"/>
        <v>86.312551221434205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IFERROR(__xludf.DUMMYFUNCTION("IMPORTRANGE(""https://docs.google.com/spreadsheets/d/1MeEWN-I1oV_STSDYn1IFDPWt_1FKiwhDph83XaGc0o0/edit?usp=sharing"",""งบพรบ!W86"")"),676800)</f>
        <v>676800</v>
      </c>
      <c r="M58" s="887">
        <f ca="1">IFERROR(__xludf.DUMMYFUNCTION("IMPORTRANGE(""https://docs.google.com/spreadsheets/d/1MeEWN-I1oV_STSDYn1IFDPWt_1FKiwhDph83XaGc0o0/edit?usp=sharing"",""งบพรบ!AB86"")"),507600)</f>
        <v>507600</v>
      </c>
      <c r="N58" s="887">
        <f ca="1">IFERROR(__xludf.DUMMYFUNCTION("IMPORTRANGE(""https://docs.google.com/spreadsheets/d/1MeEWN-I1oV_STSDYn1IFDPWt_1FKiwhDph83XaGc0o0/edit?usp=sharing"",""งบพรบ!AD86"")"),438122.51)</f>
        <v>438122.51</v>
      </c>
      <c r="O58" s="887">
        <f t="shared" ca="1" si="32"/>
        <v>64.734413416075654</v>
      </c>
      <c r="P58" s="887">
        <f t="shared" ca="1" si="33"/>
        <v>86.312551221434205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29900</v>
      </c>
      <c r="M59" s="881">
        <f t="shared" ca="1" si="36"/>
        <v>29900</v>
      </c>
      <c r="N59" s="881">
        <f t="shared" ca="1" si="36"/>
        <v>29900</v>
      </c>
      <c r="O59" s="881">
        <f t="shared" ca="1" si="32"/>
        <v>100</v>
      </c>
      <c r="P59" s="881">
        <f t="shared" ca="1" si="33"/>
        <v>100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IFERROR(__xludf.DUMMYFUNCTION("IMPORTRANGE(""https://docs.google.com/spreadsheets/d/1MeEWN-I1oV_STSDYn1IFDPWt_1FKiwhDph83XaGc0o0/edit?usp=sharing"",""งบพรบ!Z86"")"),29900)</f>
        <v>29900</v>
      </c>
      <c r="M61" s="893">
        <f ca="1">IFERROR(__xludf.DUMMYFUNCTION("IMPORTRANGE(""https://docs.google.com/spreadsheets/d/1MeEWN-I1oV_STSDYn1IFDPWt_1FKiwhDph83XaGc0o0/edit?usp=sharing"",""งบพรบ!AC86"")"),29900)</f>
        <v>29900</v>
      </c>
      <c r="N61" s="893">
        <f ca="1">IFERROR(__xludf.DUMMYFUNCTION("IMPORTRANGE(""https://docs.google.com/spreadsheets/d/1MeEWN-I1oV_STSDYn1IFDPWt_1FKiwhDph83XaGc0o0/edit?usp=sharing"",""งบพรบ!AE86"")"),29900)</f>
        <v>29900</v>
      </c>
      <c r="O61" s="893">
        <f t="shared" ca="1" si="32"/>
        <v>100</v>
      </c>
      <c r="P61" s="893">
        <f t="shared" ca="1" si="33"/>
        <v>100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IFERROR(__xludf.DUMMYFUNCTION("IMPORTRANGE(""https://docs.google.com/spreadsheets/d/1MeEWN-I1oV_STSDYn1IFDPWt_1FKiwhDph83XaGc0o0/edit?usp=sharing"",""งบพรบ!AG86"")"),0)</f>
        <v>0</v>
      </c>
      <c r="M71" s="887">
        <f ca="1">IFERROR(__xludf.DUMMYFUNCTION("IMPORTRANGE(""https://docs.google.com/spreadsheets/d/1MeEWN-I1oV_STSDYn1IFDPWt_1FKiwhDph83XaGc0o0/edit?usp=sharing"",""งบพรบ!AL86"")"),0)</f>
        <v>0</v>
      </c>
      <c r="N71" s="887">
        <f ca="1">IFERROR(__xludf.DUMMYFUNCTION("IMPORTRANGE(""https://docs.google.com/spreadsheets/d/1MeEWN-I1oV_STSDYn1IFDPWt_1FKiwhDph83XaGc0o0/edit?usp=sharing"",""งบพรบ!AN86"")"),0)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IFERROR(__xludf.DUMMYFUNCTION("IMPORTRANGE(""https://docs.google.com/spreadsheets/d/1MeEWN-I1oV_STSDYn1IFDPWt_1FKiwhDph83XaGc0o0/edit?usp=sharing"",""งบพรบ!AJ86"")"),0)</f>
        <v>0</v>
      </c>
      <c r="M74" s="887">
        <f ca="1">IFERROR(__xludf.DUMMYFUNCTION("IMPORTRANGE(""https://docs.google.com/spreadsheets/d/1MeEWN-I1oV_STSDYn1IFDPWt_1FKiwhDph83XaGc0o0/edit?usp=sharing"",""งบพรบ!AM86"")"),0)</f>
        <v>0</v>
      </c>
      <c r="N74" s="887">
        <f ca="1">IFERROR(__xludf.DUMMYFUNCTION("IMPORTRANGE(""https://docs.google.com/spreadsheets/d/1MeEWN-I1oV_STSDYn1IFDPWt_1FKiwhDph83XaGc0o0/edit?usp=sharing"",""งบพรบ!AO86"")"),0)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IFERROR(__xludf.DUMMYFUNCTION("IMPORTRANGE(""https://docs.google.com/spreadsheets/d/1QqKyyYR6Q21VydFLVH3TRQUabQu_ym0Zz7PgGX0-kHA/edit?usp=sharing"",""แผน!H86"")"),0)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IFERROR(__xludf.DUMMYFUNCTION("IMPORTRANGE(""https://docs.google.com/spreadsheets/d/1QqKyyYR6Q21VydFLVH3TRQUabQu_ym0Zz7PgGX0-kHA/edit?usp=sharing"",""แผน!I86"")"),0)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IFERROR(__xludf.DUMMYFUNCTION("IMPORTRANGE(""https://docs.google.com/spreadsheets/d/1QqKyyYR6Q21VydFLVH3TRQUabQu_ym0Zz7PgGX0-kHA/edit?usp=sharing"",""แผน!F86"")"),0)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IFERROR(__xludf.DUMMYFUNCTION("IMPORTRANGE(""https://docs.google.com/spreadsheets/d/1QqKyyYR6Q21VydFLVH3TRQUabQu_ym0Zz7PgGX0-kHA/edit?usp=sharing"",""แผน!G86"")"),0)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IFERROR(__xludf.DUMMYFUNCTION("IMPORTRANGE(""https://docs.google.com/spreadsheets/d/1QqKyyYR6Q21VydFLVH3TRQUabQu_ym0Zz7PgGX0-kHA/edit?usp=sharing"",""แผน!D86"")"),0)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IFERROR(__xludf.DUMMYFUNCTION("IMPORTRANGE(""https://docs.google.com/spreadsheets/d/1QqKyyYR6Q21VydFLVH3TRQUabQu_ym0Zz7PgGX0-kHA/edit?usp=sharing"",""แผน!E86"")"),0)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IFERROR(__xludf.DUMMYFUNCTION("IMPORTRANGE(""https://docs.google.com/spreadsheets/d/1QqKyyYR6Q21VydFLVH3TRQUabQu_ym0Zz7PgGX0-kHA/edit?usp=sharing"",""แผน!J86"")"),0)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0</v>
      </c>
      <c r="J86" s="982">
        <f t="shared" si="47"/>
        <v>0</v>
      </c>
      <c r="K86" s="983">
        <f t="shared" ref="K86:K87" ca="1" si="48">IF(I86&gt;0,J86*100/I86,0)</f>
        <v>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0</v>
      </c>
      <c r="J87" s="982">
        <f t="shared" si="47"/>
        <v>0</v>
      </c>
      <c r="K87" s="983">
        <f t="shared" ca="1" si="48"/>
        <v>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31200</v>
      </c>
      <c r="M88" s="992">
        <f t="shared" ca="1" si="49"/>
        <v>29350</v>
      </c>
      <c r="N88" s="992">
        <f t="shared" ca="1" si="49"/>
        <v>27750</v>
      </c>
      <c r="O88" s="992">
        <f t="shared" ref="O88:O96" ca="1" si="50">IF(L88&gt;0,N88*100/L88,0)</f>
        <v>88.942307692307693</v>
      </c>
      <c r="P88" s="992">
        <f t="shared" ref="P88:P96" ca="1" si="51">IF(M88&gt;0,N88*100/M88,0)</f>
        <v>94.548551959114135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31200</v>
      </c>
      <c r="M90" s="887">
        <f t="shared" ca="1" si="52"/>
        <v>29350</v>
      </c>
      <c r="N90" s="887">
        <f t="shared" ca="1" si="52"/>
        <v>27750</v>
      </c>
      <c r="O90" s="887">
        <f t="shared" ca="1" si="50"/>
        <v>88.942307692307693</v>
      </c>
      <c r="P90" s="887">
        <f t="shared" ca="1" si="51"/>
        <v>94.548551959114135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31200</v>
      </c>
      <c r="M91" s="881">
        <f t="shared" ca="1" si="53"/>
        <v>29350</v>
      </c>
      <c r="N91" s="881">
        <f t="shared" ca="1" si="53"/>
        <v>27750</v>
      </c>
      <c r="O91" s="881">
        <f t="shared" ca="1" si="50"/>
        <v>88.942307692307693</v>
      </c>
      <c r="P91" s="881">
        <f t="shared" ca="1" si="51"/>
        <v>94.548551959114135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IFERROR(__xludf.DUMMYFUNCTION("IMPORTRANGE(""https://docs.google.com/spreadsheets/d/1MeEWN-I1oV_STSDYn1IFDPWt_1FKiwhDph83XaGc0o0/edit?usp=sharing"",""งบพรบ!AQ86"")"),31200)</f>
        <v>31200</v>
      </c>
      <c r="M93" s="887">
        <f ca="1">IFERROR(__xludf.DUMMYFUNCTION("IMPORTRANGE(""https://docs.google.com/spreadsheets/d/1MeEWN-I1oV_STSDYn1IFDPWt_1FKiwhDph83XaGc0o0/edit?usp=sharing"",""งบพรบ!AV86"")"),29350)</f>
        <v>29350</v>
      </c>
      <c r="N93" s="887">
        <f ca="1">IFERROR(__xludf.DUMMYFUNCTION("IMPORTRANGE(""https://docs.google.com/spreadsheets/d/1MeEWN-I1oV_STSDYn1IFDPWt_1FKiwhDph83XaGc0o0/edit?usp=sharing"",""งบพรบ!AX86"")"),27750)</f>
        <v>27750</v>
      </c>
      <c r="O93" s="887">
        <f t="shared" ca="1" si="50"/>
        <v>88.942307692307693</v>
      </c>
      <c r="P93" s="887">
        <f t="shared" ca="1" si="51"/>
        <v>94.548551959114135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IFERROR(__xludf.DUMMYFUNCTION("IMPORTRANGE(""https://docs.google.com/spreadsheets/d/1MeEWN-I1oV_STSDYn1IFDPWt_1FKiwhDph83XaGc0o0/edit?usp=sharing"",""งบพรบ!AT86"")"),0)</f>
        <v>0</v>
      </c>
      <c r="M96" s="887">
        <f ca="1">IFERROR(__xludf.DUMMYFUNCTION("IMPORTRANGE(""https://docs.google.com/spreadsheets/d/1MeEWN-I1oV_STSDYn1IFDPWt_1FKiwhDph83XaGc0o0/edit?usp=sharing"",""งบพรบ!AW86"")"),0)</f>
        <v>0</v>
      </c>
      <c r="N96" s="887">
        <f ca="1">IFERROR(__xludf.DUMMYFUNCTION("IMPORTRANGE(""https://docs.google.com/spreadsheets/d/1MeEWN-I1oV_STSDYn1IFDPWt_1FKiwhDph83XaGc0o0/edit?usp=sharing"",""งบพรบ!AY86"")"),0)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IFERROR(__xludf.DUMMYFUNCTION("IMPORTRANGE(""https://docs.google.com/spreadsheets/d/1QqKyyYR6Q21VydFLVH3TRQUabQu_ym0Zz7PgGX0-kHA/edit?usp=sharing"",""แผน!K86"")"),0)</f>
        <v>0</v>
      </c>
      <c r="J98" s="880">
        <f>J102</f>
        <v>0</v>
      </c>
      <c r="K98" s="881">
        <f t="shared" ref="K98:K100" ca="1" si="55">IF(I98&gt;0,J98*100/I98,0)</f>
        <v>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IFERROR(__xludf.DUMMYFUNCTION("IMPORTRANGE(""https://docs.google.com/spreadsheets/d/1QqKyyYR6Q21VydFLVH3TRQUabQu_ym0Zz7PgGX0-kHA/edit?usp=sharing"",""แผน!L86"")"),0)</f>
        <v>0</v>
      </c>
      <c r="J99" s="880">
        <f>J104</f>
        <v>0</v>
      </c>
      <c r="K99" s="881">
        <f t="shared" ca="1" si="55"/>
        <v>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IFERROR(__xludf.DUMMYFUNCTION("IMPORTRANGE(""https://docs.google.com/spreadsheets/d/1QqKyyYR6Q21VydFLVH3TRQUabQu_ym0Zz7PgGX0-kHA/edit?usp=sharing"",""แผน!M86"")"),1)</f>
        <v>1</v>
      </c>
      <c r="J100" s="880">
        <f>J107+J110</f>
        <v>1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IFERROR(__xludf.DUMMYFUNCTION("IMPORTRANGE(""https://docs.google.com/spreadsheets/d/1QqKyyYR6Q21VydFLVH3TRQUabQu_ym0Zz7PgGX0-kHA/edit?usp=sharing"",""แผน!N86"")"),0)</f>
        <v>0</v>
      </c>
      <c r="J102" s="1012">
        <v>0</v>
      </c>
      <c r="K102" s="881">
        <f t="shared" ref="K102:K104" ca="1" si="56">IF(I102&gt;0,J102*100/I102,0)</f>
        <v>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IFERROR(__xludf.DUMMYFUNCTION("IMPORTRANGE(""https://docs.google.com/spreadsheets/d/1QqKyyYR6Q21VydFLVH3TRQUabQu_ym0Zz7PgGX0-kHA/edit?usp=sharing"",""แผน!O86"")"),0)</f>
        <v>0</v>
      </c>
      <c r="J103" s="1012">
        <v>0</v>
      </c>
      <c r="K103" s="881">
        <f t="shared" ca="1" si="56"/>
        <v>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IFERROR(__xludf.DUMMYFUNCTION("IMPORTRANGE(""https://docs.google.com/spreadsheets/d/1QqKyyYR6Q21VydFLVH3TRQUabQu_ym0Zz7PgGX0-kHA/edit?usp=sharing"",""แผน!O86"")"),0)</f>
        <v>0</v>
      </c>
      <c r="J104" s="1012">
        <v>0</v>
      </c>
      <c r="K104" s="881">
        <f t="shared" ca="1" si="56"/>
        <v>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IFERROR(__xludf.DUMMYFUNCTION("IMPORTRANGE(""https://docs.google.com/spreadsheets/d/1QqKyyYR6Q21VydFLVH3TRQUabQu_ym0Zz7PgGX0-kHA/edit?usp=sharing"",""แผน!P86"")"),0)</f>
        <v>0</v>
      </c>
      <c r="J106" s="1012">
        <v>0</v>
      </c>
      <c r="K106" s="881">
        <f t="shared" ref="K106:K107" ca="1" si="57">IF(I106&gt;0,J106*100/I106,0)</f>
        <v>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IFERROR(__xludf.DUMMYFUNCTION("IMPORTRANGE(""https://docs.google.com/spreadsheets/d/1QqKyyYR6Q21VydFLVH3TRQUabQu_ym0Zz7PgGX0-kHA/edit?usp=sharing"",""แผน!P86"")"),0)</f>
        <v>0</v>
      </c>
      <c r="J107" s="1012">
        <v>0</v>
      </c>
      <c r="K107" s="881">
        <f t="shared" ca="1" si="57"/>
        <v>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IFERROR(__xludf.DUMMYFUNCTION("IMPORTRANGE(""https://docs.google.com/spreadsheets/d/1QqKyyYR6Q21VydFLVH3TRQUabQu_ym0Zz7PgGX0-kHA/edit?usp=sharing"",""แผน!Q86"")"),1)</f>
        <v>1</v>
      </c>
      <c r="J109" s="1012">
        <v>1</v>
      </c>
      <c r="K109" s="881">
        <f t="shared" ref="K109:K116" ca="1" si="58">IF(I109&gt;0,J109*100/I109,0)</f>
        <v>100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IFERROR(__xludf.DUMMYFUNCTION("IMPORTRANGE(""https://docs.google.com/spreadsheets/d/1QqKyyYR6Q21VydFLVH3TRQUabQu_ym0Zz7PgGX0-kHA/edit?usp=sharing"",""แผน!Q86"")"),1)</f>
        <v>1</v>
      </c>
      <c r="J110" s="1012">
        <v>1</v>
      </c>
      <c r="K110" s="881">
        <f t="shared" ca="1" si="58"/>
        <v>100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IFERROR(__xludf.DUMMYFUNCTION("IMPORTRANGE(""https://docs.google.com/spreadsheets/d/1QqKyyYR6Q21VydFLVH3TRQUabQu_ym0Zz7PgGX0-kHA/edit?usp=sharing"",""แผน!R86"")"),0)</f>
        <v>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1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IFERROR(__xludf.DUMMYFUNCTION("IMPORTRANGE(""https://docs.google.com/spreadsheets/d/1QqKyyYR6Q21VydFLVH3TRQUabQu_ym0Zz7PgGX0-kHA/edit?usp=sharing"",""แผน!R86"")"),0)</f>
        <v>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IFERROR(__xludf.DUMMYFUNCTION("IMPORTRANGE(""https://docs.google.com/spreadsheets/d/1QqKyyYR6Q21VydFLVH3TRQUabQu_ym0Zz7PgGX0-kHA/edit?usp=sharing"",""แผน!R86"")"),0)</f>
        <v>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IFERROR(__xludf.DUMMYFUNCTION("IMPORTRANGE(""https://docs.google.com/spreadsheets/d/1QqKyyYR6Q21VydFLVH3TRQUabQu_ym0Zz7PgGX0-kHA/edit?usp=sharing"",""แผน!S86"")"),0)</f>
        <v>0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IFERROR(__xludf.DUMMYFUNCTION("IMPORTRANGE(""https://docs.google.com/spreadsheets/d/1QqKyyYR6Q21VydFLVH3TRQUabQu_ym0Zz7PgGX0-kHA/edit?usp=sharing"",""แผน!T86"")"),1)</f>
        <v>1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>
        <v>0</v>
      </c>
      <c r="J118" s="1027">
        <v>0</v>
      </c>
      <c r="K118" s="984">
        <v>0</v>
      </c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IFERROR(__xludf.DUMMYFUNCTION("IMPORTRANGE(""https://docs.google.com/spreadsheets/d/1MeEWN-I1oV_STSDYn1IFDPWt_1FKiwhDph83XaGc0o0/edit?usp=sharing"",""งบพรบ!BA86"")"),0)</f>
        <v>0</v>
      </c>
      <c r="M124" s="887">
        <f ca="1">IFERROR(__xludf.DUMMYFUNCTION("IMPORTRANGE(""https://docs.google.com/spreadsheets/d/1MeEWN-I1oV_STSDYn1IFDPWt_1FKiwhDph83XaGc0o0/edit?usp=sharing"",""งบพรบ!BF86"")"),0)</f>
        <v>0</v>
      </c>
      <c r="N124" s="887">
        <f ca="1">IFERROR(__xludf.DUMMYFUNCTION("IMPORTRANGE(""https://docs.google.com/spreadsheets/d/1MeEWN-I1oV_STSDYn1IFDPWt_1FKiwhDph83XaGc0o0/edit?usp=sharing"",""งบพรบ!BH86"")"),0)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IFERROR(__xludf.DUMMYFUNCTION("IMPORTRANGE(""https://docs.google.com/spreadsheets/d/1MeEWN-I1oV_STSDYn1IFDPWt_1FKiwhDph83XaGc0o0/edit?usp=sharing"",""งบพรบ!BD86"")"),0)</f>
        <v>0</v>
      </c>
      <c r="M127" s="887">
        <f ca="1">IFERROR(__xludf.DUMMYFUNCTION("IMPORTRANGE(""https://docs.google.com/spreadsheets/d/1MeEWN-I1oV_STSDYn1IFDPWt_1FKiwhDph83XaGc0o0/edit?usp=sharing"",""งบพรบ!BG86"")"),0)</f>
        <v>0</v>
      </c>
      <c r="N127" s="887">
        <f ca="1">IFERROR(__xludf.DUMMYFUNCTION("IMPORTRANGE(""https://docs.google.com/spreadsheets/d/1MeEWN-I1oV_STSDYn1IFDPWt_1FKiwhDph83XaGc0o0/edit?usp=sharing"",""งบพรบ!BI86"")"),0)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1</v>
      </c>
      <c r="J130" s="982">
        <f t="shared" si="66"/>
        <v>1</v>
      </c>
      <c r="K130" s="983">
        <f t="shared" ref="K130:K131" ca="1" si="67">IF(I130&gt;0,J130*100/I130,0)</f>
        <v>100</v>
      </c>
      <c r="L130" s="984"/>
      <c r="M130" s="984"/>
      <c r="N130" s="984"/>
      <c r="O130" s="984"/>
      <c r="P130" s="984"/>
    </row>
    <row r="131" spans="1:26" ht="19.5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10</v>
      </c>
      <c r="J131" s="982">
        <f t="shared" ca="1" si="68"/>
        <v>10</v>
      </c>
      <c r="K131" s="983">
        <f t="shared" ca="1" si="67"/>
        <v>100</v>
      </c>
      <c r="L131" s="984"/>
      <c r="M131" s="984"/>
      <c r="N131" s="984"/>
      <c r="O131" s="984"/>
      <c r="P131" s="984"/>
    </row>
    <row r="132" spans="1:26" ht="19.5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543555</v>
      </c>
      <c r="M132" s="992">
        <f t="shared" ca="1" si="69"/>
        <v>440850</v>
      </c>
      <c r="N132" s="992">
        <f t="shared" ca="1" si="69"/>
        <v>329341</v>
      </c>
      <c r="O132" s="992">
        <f t="shared" ref="O132:O140" ca="1" si="70">IF(L132&gt;0,N132*100/L132,0)</f>
        <v>60.590188665360451</v>
      </c>
      <c r="P132" s="992">
        <f t="shared" ref="P132:P140" ca="1" si="71">IF(M132&gt;0,N132*100/M132,0)</f>
        <v>74.705909039355788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543555</v>
      </c>
      <c r="M134" s="887">
        <f t="shared" ca="1" si="72"/>
        <v>440850</v>
      </c>
      <c r="N134" s="887">
        <f t="shared" ca="1" si="72"/>
        <v>329341</v>
      </c>
      <c r="O134" s="887">
        <f t="shared" ca="1" si="70"/>
        <v>60.590188665360451</v>
      </c>
      <c r="P134" s="887">
        <f t="shared" ca="1" si="71"/>
        <v>74.705909039355788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440555</v>
      </c>
      <c r="M135" s="881">
        <f t="shared" ca="1" si="73"/>
        <v>337850</v>
      </c>
      <c r="N135" s="881">
        <f t="shared" ca="1" si="73"/>
        <v>226341</v>
      </c>
      <c r="O135" s="881">
        <f t="shared" ca="1" si="70"/>
        <v>51.376332126522229</v>
      </c>
      <c r="P135" s="881">
        <f t="shared" ca="1" si="71"/>
        <v>66.994524197128897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IFERROR(__xludf.DUMMYFUNCTION("IMPORTRANGE(""https://docs.google.com/spreadsheets/d/1MeEWN-I1oV_STSDYn1IFDPWt_1FKiwhDph83XaGc0o0/edit?usp=sharing"",""งบพรบ!BK86"")"),440555)</f>
        <v>440555</v>
      </c>
      <c r="M137" s="887">
        <f ca="1">IFERROR(__xludf.DUMMYFUNCTION("IMPORTRANGE(""https://docs.google.com/spreadsheets/d/1MeEWN-I1oV_STSDYn1IFDPWt_1FKiwhDph83XaGc0o0/edit?usp=sharing"",""งบพรบ!BP86"")"),337850)</f>
        <v>337850</v>
      </c>
      <c r="N137" s="887">
        <f ca="1">IFERROR(__xludf.DUMMYFUNCTION("IMPORTRANGE(""https://docs.google.com/spreadsheets/d/1MeEWN-I1oV_STSDYn1IFDPWt_1FKiwhDph83XaGc0o0/edit?usp=sharing"",""งบพรบ!BR86"")"),226341)</f>
        <v>226341</v>
      </c>
      <c r="O137" s="887">
        <f t="shared" ca="1" si="70"/>
        <v>51.376332126522229</v>
      </c>
      <c r="P137" s="887">
        <f t="shared" ca="1" si="71"/>
        <v>66.994524197128897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103000</v>
      </c>
      <c r="M138" s="881">
        <f t="shared" ca="1" si="74"/>
        <v>103000</v>
      </c>
      <c r="N138" s="881">
        <f t="shared" ca="1" si="74"/>
        <v>103000</v>
      </c>
      <c r="O138" s="881">
        <f t="shared" ca="1" si="70"/>
        <v>100</v>
      </c>
      <c r="P138" s="881">
        <f t="shared" ca="1" si="71"/>
        <v>100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IFERROR(__xludf.DUMMYFUNCTION("IMPORTRANGE(""https://docs.google.com/spreadsheets/d/1MeEWN-I1oV_STSDYn1IFDPWt_1FKiwhDph83XaGc0o0/edit?usp=sharing"",""งบพรบ!BN86"")"),103000)</f>
        <v>103000</v>
      </c>
      <c r="M140" s="887">
        <f ca="1">IFERROR(__xludf.DUMMYFUNCTION("IMPORTRANGE(""https://docs.google.com/spreadsheets/d/1MeEWN-I1oV_STSDYn1IFDPWt_1FKiwhDph83XaGc0o0/edit?usp=sharing"",""งบพรบ!BQ86"")"),103000)</f>
        <v>103000</v>
      </c>
      <c r="N140" s="887">
        <f ca="1">IFERROR(__xludf.DUMMYFUNCTION("IMPORTRANGE(""https://docs.google.com/spreadsheets/d/1MeEWN-I1oV_STSDYn1IFDPWt_1FKiwhDph83XaGc0o0/edit?usp=sharing"",""งบพรบ!BS86"")"),103000)</f>
        <v>103000</v>
      </c>
      <c r="O140" s="887">
        <f t="shared" ca="1" si="70"/>
        <v>100</v>
      </c>
      <c r="P140" s="887">
        <f t="shared" ca="1" si="71"/>
        <v>100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10</v>
      </c>
      <c r="K142" s="881"/>
      <c r="L142" s="881"/>
      <c r="M142" s="881"/>
      <c r="N142" s="881"/>
      <c r="O142" s="881"/>
      <c r="P142" s="881"/>
    </row>
    <row r="143" spans="1:26" ht="19.5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10</v>
      </c>
      <c r="J143" s="880">
        <f ca="1">IF(AND(J144&gt;=I144,J145&gt;=I145),J145,0)</f>
        <v>10</v>
      </c>
      <c r="K143" s="881">
        <f t="shared" ref="K143:K146" ca="1" si="75">IF(I143&gt;0,J143*100/I143,0)</f>
        <v>100</v>
      </c>
      <c r="L143" s="881"/>
      <c r="M143" s="881"/>
      <c r="N143" s="881"/>
      <c r="O143" s="881"/>
      <c r="P143" s="881"/>
    </row>
    <row r="144" spans="1:26" ht="19.5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IFERROR(__xludf.DUMMYFUNCTION("IMPORTRANGE(""https://docs.google.com/spreadsheets/d/1QqKyyYR6Q21VydFLVH3TRQUabQu_ym0Zz7PgGX0-kHA/edit?usp=sharing"",""แผน!U86"")"),5)</f>
        <v>5</v>
      </c>
      <c r="J144" s="1012">
        <v>5</v>
      </c>
      <c r="K144" s="881">
        <f t="shared" ca="1" si="75"/>
        <v>100</v>
      </c>
      <c r="L144" s="881"/>
      <c r="M144" s="881"/>
      <c r="N144" s="881"/>
      <c r="O144" s="881"/>
      <c r="P144" s="881"/>
    </row>
    <row r="145" spans="1:26" ht="19.5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IFERROR(__xludf.DUMMYFUNCTION("IMPORTRANGE(""https://docs.google.com/spreadsheets/d/1QqKyyYR6Q21VydFLVH3TRQUabQu_ym0Zz7PgGX0-kHA/edit?usp=sharing"",""แผน!V86"")"),10)</f>
        <v>10</v>
      </c>
      <c r="J145" s="1012">
        <v>10</v>
      </c>
      <c r="K145" s="881">
        <f t="shared" ca="1" si="75"/>
        <v>100</v>
      </c>
      <c r="L145" s="881"/>
      <c r="M145" s="881"/>
      <c r="N145" s="881"/>
      <c r="O145" s="881"/>
      <c r="P145" s="881"/>
    </row>
    <row r="146" spans="1:26" ht="19.5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IFERROR(__xludf.DUMMYFUNCTION("IMPORTRANGE(""https://docs.google.com/spreadsheets/d/1QqKyyYR6Q21VydFLVH3TRQUabQu_ym0Zz7PgGX0-kHA/edit?usp=sharing"",""แผน!W86"")"),1)</f>
        <v>1</v>
      </c>
      <c r="J146" s="1012">
        <v>1</v>
      </c>
      <c r="K146" s="881">
        <f t="shared" ca="1" si="75"/>
        <v>100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IFERROR(__xludf.DUMMYFUNCTION("IMPORTRANGE(""https://docs.google.com/spreadsheets/d/1MeEWN-I1oV_STSDYn1IFDPWt_1FKiwhDph83XaGc0o0/edit?usp=sharing"",""งบพรบ!BU86"")"),0)</f>
        <v>0</v>
      </c>
      <c r="M154" s="887">
        <f ca="1">IFERROR(__xludf.DUMMYFUNCTION("IMPORTRANGE(""https://docs.google.com/spreadsheets/d/1MeEWN-I1oV_STSDYn1IFDPWt_1FKiwhDph83XaGc0o0/edit?usp=sharing"",""งบพรบ!BZ86"")"),0)</f>
        <v>0</v>
      </c>
      <c r="N154" s="887">
        <f ca="1">IFERROR(__xludf.DUMMYFUNCTION("IMPORTRANGE(""https://docs.google.com/spreadsheets/d/1MeEWN-I1oV_STSDYn1IFDPWt_1FKiwhDph83XaGc0o0/edit?usp=sharing"",""งบพรบ!CB86"")"),0)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IFERROR(__xludf.DUMMYFUNCTION("IMPORTRANGE(""https://docs.google.com/spreadsheets/d/1MeEWN-I1oV_STSDYn1IFDPWt_1FKiwhDph83XaGc0o0/edit?usp=sharing"",""งบพรบ!BX86"")"),0)</f>
        <v>0</v>
      </c>
      <c r="M157" s="887">
        <f ca="1">IFERROR(__xludf.DUMMYFUNCTION("IMPORTRANGE(""https://docs.google.com/spreadsheets/d/1MeEWN-I1oV_STSDYn1IFDPWt_1FKiwhDph83XaGc0o0/edit?usp=sharing"",""งบพรบ!CA86"")"),0)</f>
        <v>0</v>
      </c>
      <c r="N157" s="887">
        <f ca="1">IFERROR(__xludf.DUMMYFUNCTION("IMPORTRANGE(""https://docs.google.com/spreadsheets/d/1MeEWN-I1oV_STSDYn1IFDPWt_1FKiwhDph83XaGc0o0/edit?usp=sharing"",""งบพรบ!CC86"")"),0)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IFERROR(__xludf.DUMMYFUNCTION("IMPORTRANGE(""https://docs.google.com/spreadsheets/d/1QqKyyYR6Q21VydFLVH3TRQUabQu_ym0Zz7PgGX0-kHA/edit?usp=sharing"",""แผน!X86"")"),0)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13</v>
      </c>
      <c r="J164" s="1075">
        <f t="shared" si="83"/>
        <v>13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24065</v>
      </c>
      <c r="M165" s="992">
        <f t="shared" ca="1" si="84"/>
        <v>44625</v>
      </c>
      <c r="N165" s="992">
        <f t="shared" ca="1" si="84"/>
        <v>44235</v>
      </c>
      <c r="O165" s="992">
        <f t="shared" ref="O165:O173" ca="1" si="85">IF(L165&gt;0,N165*100/L165,0)</f>
        <v>183.81466860585914</v>
      </c>
      <c r="P165" s="992">
        <f t="shared" ref="P165:P173" ca="1" si="86">IF(M165&gt;0,N165*100/M165,0)</f>
        <v>99.12605042016807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24065</v>
      </c>
      <c r="M167" s="887">
        <f t="shared" ca="1" si="87"/>
        <v>44625</v>
      </c>
      <c r="N167" s="887">
        <f t="shared" ca="1" si="87"/>
        <v>44235</v>
      </c>
      <c r="O167" s="887">
        <f t="shared" ca="1" si="85"/>
        <v>183.81466860585914</v>
      </c>
      <c r="P167" s="887">
        <f t="shared" ca="1" si="86"/>
        <v>99.12605042016807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24065</v>
      </c>
      <c r="M168" s="881">
        <f t="shared" ca="1" si="88"/>
        <v>44625</v>
      </c>
      <c r="N168" s="881">
        <f t="shared" ca="1" si="88"/>
        <v>44235</v>
      </c>
      <c r="O168" s="881">
        <f t="shared" ca="1" si="85"/>
        <v>183.81466860585914</v>
      </c>
      <c r="P168" s="881">
        <f t="shared" ca="1" si="86"/>
        <v>99.12605042016807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IFERROR(__xludf.DUMMYFUNCTION("IMPORTRANGE(""https://docs.google.com/spreadsheets/d/1MeEWN-I1oV_STSDYn1IFDPWt_1FKiwhDph83XaGc0o0/edit?usp=sharing"",""งบพรบ!CE86"")"),24065)</f>
        <v>24065</v>
      </c>
      <c r="M170" s="887">
        <f ca="1">IFERROR(__xludf.DUMMYFUNCTION("IMPORTRANGE(""https://docs.google.com/spreadsheets/d/1MeEWN-I1oV_STSDYn1IFDPWt_1FKiwhDph83XaGc0o0/edit?usp=sharing"",""งบพรบ!CJ86"")"),44625)</f>
        <v>44625</v>
      </c>
      <c r="N170" s="887">
        <f ca="1">IFERROR(__xludf.DUMMYFUNCTION("IMPORTRANGE(""https://docs.google.com/spreadsheets/d/1MeEWN-I1oV_STSDYn1IFDPWt_1FKiwhDph83XaGc0o0/edit?usp=sharing"",""งบพรบ!CL86"")"),44235)</f>
        <v>44235</v>
      </c>
      <c r="O170" s="887">
        <f t="shared" ca="1" si="85"/>
        <v>183.81466860585914</v>
      </c>
      <c r="P170" s="887">
        <f t="shared" ca="1" si="86"/>
        <v>99.12605042016807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IFERROR(__xludf.DUMMYFUNCTION("IMPORTRANGE(""https://docs.google.com/spreadsheets/d/1MeEWN-I1oV_STSDYn1IFDPWt_1FKiwhDph83XaGc0o0/edit?usp=sharing"",""งบพรบ!CH86"")"),0)</f>
        <v>0</v>
      </c>
      <c r="M173" s="887">
        <f ca="1">IFERROR(__xludf.DUMMYFUNCTION("IMPORTRANGE(""https://docs.google.com/spreadsheets/d/1MeEWN-I1oV_STSDYn1IFDPWt_1FKiwhDph83XaGc0o0/edit?usp=sharing"",""งบพรบ!CK86"")"),0)</f>
        <v>0</v>
      </c>
      <c r="N173" s="887">
        <f ca="1">IFERROR(__xludf.DUMMYFUNCTION("IMPORTRANGE(""https://docs.google.com/spreadsheets/d/1MeEWN-I1oV_STSDYn1IFDPWt_1FKiwhDph83XaGc0o0/edit?usp=sharing"",""งบพรบ!CM86"")"),0)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13</v>
      </c>
      <c r="J174" s="1067">
        <f t="shared" si="90"/>
        <v>13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IFERROR(__xludf.DUMMYFUNCTION("IMPORTRANGE(""https://docs.google.com/spreadsheets/d/1QqKyyYR6Q21VydFLVH3TRQUabQu_ym0Zz7PgGX0-kHA/edit?usp=sharing"",""แผน!Y86"")"),13)</f>
        <v>13</v>
      </c>
      <c r="J176" s="1012">
        <v>13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176400</v>
      </c>
      <c r="M181" s="992">
        <f t="shared" ca="1" si="92"/>
        <v>170500</v>
      </c>
      <c r="N181" s="992">
        <f t="shared" ca="1" si="92"/>
        <v>104480</v>
      </c>
      <c r="O181" s="992">
        <f t="shared" ref="O181:O189" ca="1" si="93">IF(L181&gt;0,N181*100/L181,0)</f>
        <v>59.229024943310655</v>
      </c>
      <c r="P181" s="992">
        <f t="shared" ref="P181:P189" ca="1" si="94">IF(M181&gt;0,N181*100/M181,0)</f>
        <v>61.278592375366571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176400</v>
      </c>
      <c r="M183" s="887">
        <f t="shared" ca="1" si="95"/>
        <v>170500</v>
      </c>
      <c r="N183" s="887">
        <f t="shared" ca="1" si="95"/>
        <v>104480</v>
      </c>
      <c r="O183" s="887">
        <f t="shared" ca="1" si="93"/>
        <v>59.229024943310655</v>
      </c>
      <c r="P183" s="887">
        <f t="shared" ca="1" si="94"/>
        <v>61.278592375366571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176400</v>
      </c>
      <c r="M184" s="881">
        <f t="shared" ca="1" si="96"/>
        <v>170500</v>
      </c>
      <c r="N184" s="881">
        <f t="shared" ca="1" si="96"/>
        <v>104480</v>
      </c>
      <c r="O184" s="881">
        <f t="shared" ca="1" si="93"/>
        <v>59.229024943310655</v>
      </c>
      <c r="P184" s="881">
        <f t="shared" ca="1" si="94"/>
        <v>61.278592375366571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IFERROR(__xludf.DUMMYFUNCTION("IMPORTRANGE(""https://docs.google.com/spreadsheets/d/1MeEWN-I1oV_STSDYn1IFDPWt_1FKiwhDph83XaGc0o0/edit?usp=sharing"",""งบพรบ!CO86"")"),176400)</f>
        <v>176400</v>
      </c>
      <c r="M186" s="887">
        <f ca="1">IFERROR(__xludf.DUMMYFUNCTION("IMPORTRANGE(""https://docs.google.com/spreadsheets/d/1MeEWN-I1oV_STSDYn1IFDPWt_1FKiwhDph83XaGc0o0/edit?usp=sharing"",""งบพรบ!CT86"")"),170500)</f>
        <v>170500</v>
      </c>
      <c r="N186" s="887">
        <f ca="1">IFERROR(__xludf.DUMMYFUNCTION("IMPORTRANGE(""https://docs.google.com/spreadsheets/d/1MeEWN-I1oV_STSDYn1IFDPWt_1FKiwhDph83XaGc0o0/edit?usp=sharing"",""งบพรบ!CV86"")"),104480)</f>
        <v>104480</v>
      </c>
      <c r="O186" s="887">
        <f t="shared" ca="1" si="93"/>
        <v>59.229024943310655</v>
      </c>
      <c r="P186" s="887">
        <f t="shared" ca="1" si="94"/>
        <v>61.278592375366571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IFERROR(__xludf.DUMMYFUNCTION("IMPORTRANGE(""https://docs.google.com/spreadsheets/d/1MeEWN-I1oV_STSDYn1IFDPWt_1FKiwhDph83XaGc0o0/edit?usp=sharing"",""งบพรบ!CR86"")"),0)</f>
        <v>0</v>
      </c>
      <c r="M189" s="887">
        <f ca="1">IFERROR(__xludf.DUMMYFUNCTION("IMPORTRANGE(""https://docs.google.com/spreadsheets/d/1MeEWN-I1oV_STSDYn1IFDPWt_1FKiwhDph83XaGc0o0/edit?usp=sharing"",""งบพรบ!CU86"")"),0)</f>
        <v>0</v>
      </c>
      <c r="N189" s="887">
        <f ca="1">IFERROR(__xludf.DUMMYFUNCTION("IMPORTRANGE(""https://docs.google.com/spreadsheets/d/1MeEWN-I1oV_STSDYn1IFDPWt_1FKiwhDph83XaGc0o0/edit?usp=sharing"",""งบพรบ!CW86"")"),0)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IFERROR(__xludf.DUMMYFUNCTION("IMPORTRANGE(""https://docs.google.com/spreadsheets/d/1QqKyyYR6Q21VydFLVH3TRQUabQu_ym0Zz7PgGX0-kHA/edit?usp=sharing"",""แผน!Z86"")"),6000)</f>
        <v>6000</v>
      </c>
      <c r="M191" s="992"/>
      <c r="N191" s="1081">
        <v>2980</v>
      </c>
      <c r="O191" s="992">
        <f ca="1">IF(L191&gt;0,N191*100/L191,0)</f>
        <v>49.666666666666664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IFERROR(__xludf.DUMMYFUNCTION("IMPORTRANGE(""https://docs.google.com/spreadsheets/d/1QqKyyYR6Q21VydFLVH3TRQUabQu_ym0Zz7PgGX0-kHA/edit?usp=sharing"",""แผน!AC86"")"),4)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156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156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5</v>
      </c>
      <c r="J197" s="1078">
        <f t="shared" si="99"/>
        <v>5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65000</v>
      </c>
      <c r="M198" s="992"/>
      <c r="N198" s="992">
        <f>N199+N200+N201+N202</f>
        <v>45000</v>
      </c>
      <c r="O198" s="992">
        <f ca="1">IF(L198&gt;0,N198*100/L198,0)</f>
        <v>69.230769230769226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IFERROR(__xludf.DUMMYFUNCTION("IMPORTRANGE(""https://docs.google.com/spreadsheets/d/1QqKyyYR6Q21VydFLVH3TRQUabQu_ym0Zz7PgGX0-kHA/edit?usp=sharing"",""แผน!AE86"")"),5000)</f>
        <v>5000</v>
      </c>
      <c r="M199" s="881"/>
      <c r="N199" s="1085">
        <v>5000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IFERROR(__xludf.DUMMYFUNCTION("IMPORTRANGE(""https://docs.google.com/spreadsheets/d/1QqKyyYR6Q21VydFLVH3TRQUabQu_ym0Zz7PgGX0-kHA/edit?usp=sharing"",""แผน!AF86"")"),40000)</f>
        <v>40000</v>
      </c>
      <c r="M200" s="881"/>
      <c r="N200" s="1085">
        <v>40000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IFERROR(__xludf.DUMMYFUNCTION("IMPORTRANGE(""https://docs.google.com/spreadsheets/d/1QqKyyYR6Q21VydFLVH3TRQUabQu_ym0Zz7PgGX0-kHA/edit?usp=sharing"",""แผน!AG86"")"),20000)</f>
        <v>20000</v>
      </c>
      <c r="M201" s="881"/>
      <c r="N201" s="1085">
        <v>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IFERROR(__xludf.DUMMYFUNCTION("IMPORTRANGE(""https://docs.google.com/spreadsheets/d/1QqKyyYR6Q21VydFLVH3TRQUabQu_ym0Zz7PgGX0-kHA/edit?usp=sharing"",""แผน!AH86"")"),0)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IFERROR(__xludf.DUMMYFUNCTION("IMPORTRANGE(""https://docs.google.com/spreadsheets/d/1QqKyyYR6Q21VydFLVH3TRQUabQu_ym0Zz7PgGX0-kHA/edit?usp=sharing"",""แผน!AI86"")"),5)</f>
        <v>5</v>
      </c>
      <c r="J204" s="1012">
        <v>5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5</v>
      </c>
      <c r="J206" s="1012">
        <v>0</v>
      </c>
      <c r="K206" s="998">
        <f t="shared" ref="K206:K208" si="100">IF(I206&gt;0,J206*100/I206,0)</f>
        <v>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7</v>
      </c>
      <c r="J208" s="1078">
        <f t="shared" si="101"/>
        <v>7</v>
      </c>
      <c r="K208" s="1079">
        <f t="shared" ca="1" si="100"/>
        <v>100</v>
      </c>
      <c r="L208" s="1068"/>
      <c r="M208" s="1068"/>
      <c r="N208" s="1068"/>
      <c r="O208" s="1068"/>
      <c r="P208" s="1068"/>
    </row>
    <row r="209" spans="1:26" ht="19.5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98000</v>
      </c>
      <c r="M209" s="992"/>
      <c r="N209" s="992">
        <f>N210+N211+N212</f>
        <v>56500</v>
      </c>
      <c r="O209" s="992">
        <f ca="1">IF(L209&gt;0,N209*100/L209,0)</f>
        <v>57.653061224489797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IFERROR(__xludf.DUMMYFUNCTION("IMPORTRANGE(""https://docs.google.com/spreadsheets/d/1QqKyyYR6Q21VydFLVH3TRQUabQu_ym0Zz7PgGX0-kHA/edit?usp=sharing"",""แผน!AK86"")"),7000)</f>
        <v>7000</v>
      </c>
      <c r="M210" s="881"/>
      <c r="N210" s="1085">
        <v>500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IFERROR(__xludf.DUMMYFUNCTION("IMPORTRANGE(""https://docs.google.com/spreadsheets/d/1QqKyyYR6Q21VydFLVH3TRQUabQu_ym0Zz7PgGX0-kHA/edit?usp=sharing"",""แผน!AL86"")"),35000)</f>
        <v>35000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IFERROR(__xludf.DUMMYFUNCTION("IMPORTRANGE(""https://docs.google.com/spreadsheets/d/1QqKyyYR6Q21VydFLVH3TRQUabQu_ym0Zz7PgGX0-kHA/edit?usp=sharing"",""แผน!AM86"")"),56000)</f>
        <v>56000</v>
      </c>
      <c r="M212" s="881"/>
      <c r="N212" s="1085">
        <v>56000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IFERROR(__xludf.DUMMYFUNCTION("IMPORTRANGE(""https://docs.google.com/spreadsheets/d/1QqKyyYR6Q21VydFLVH3TRQUabQu_ym0Zz7PgGX0-kHA/edit?usp=sharing"",""แผน!AN86"")"),7)</f>
        <v>7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IFERROR(__xludf.DUMMYFUNCTION("IMPORTRANGE(""https://docs.google.com/spreadsheets/d/1QqKyyYR6Q21VydFLVH3TRQUabQu_ym0Zz7PgGX0-kHA/edit?usp=sharing"",""แผน!AN86"")"),7)</f>
        <v>7</v>
      </c>
      <c r="J215" s="1012">
        <v>7</v>
      </c>
      <c r="K215" s="881">
        <f t="shared" ca="1" si="102"/>
        <v>100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15000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7400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IFERROR(__xludf.DUMMYFUNCTION("IMPORTRANGE(""https://docs.google.com/spreadsheets/d/1QqKyyYR6Q21VydFLVH3TRQUabQu_ym0Zz7PgGX0-kHA/edit?usp=sharing"",""แผน!AP86"")"),3000)</f>
        <v>3000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IFERROR(__xludf.DUMMYFUNCTION("IMPORTRANGE(""https://docs.google.com/spreadsheets/d/1QqKyyYR6Q21VydFLVH3TRQUabQu_ym0Zz7PgGX0-kHA/edit?usp=sharing"",""แผน!AQ86"")"),4400)</f>
        <v>4400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IFERROR(__xludf.DUMMYFUNCTION("IMPORTRANGE(""https://docs.google.com/spreadsheets/d/1QqKyyYR6Q21VydFLVH3TRQUabQu_ym0Zz7PgGX0-kHA/edit?usp=sharing"",""แผน!AR86"")"),0)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IFERROR(__xludf.DUMMYFUNCTION("IMPORTRANGE(""https://docs.google.com/spreadsheets/d/1QqKyyYR6Q21VydFLVH3TRQUabQu_ym0Zz7PgGX0-kHA/edit?usp=sharing"",""แผน!AT86"")"),15000)</f>
        <v>15000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IFERROR(__xludf.DUMMYFUNCTION("IMPORTRANGE(""https://docs.google.com/spreadsheets/d/1QqKyyYR6Q21VydFLVH3TRQUabQu_ym0Zz7PgGX0-kHA/edit?usp=sharing"",""แผน!AT86"")"),15000)</f>
        <v>15000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IFERROR(__xludf.DUMMYFUNCTION("IMPORTRANGE(""https://docs.google.com/spreadsheets/d/1QqKyyYR6Q21VydFLVH3TRQUabQu_ym0Zz7PgGX0-kHA/edit?usp=sharing"",""แผน!AS86"")"),0)</f>
        <v>0</v>
      </c>
      <c r="J225" s="1012">
        <v>0</v>
      </c>
      <c r="K225" s="998">
        <f t="shared" ca="1" si="104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IFERROR(__xludf.DUMMYFUNCTION("IMPORTRANGE(""https://docs.google.com/spreadsheets/d/1QqKyyYR6Q21VydFLVH3TRQUabQu_ym0Zz7PgGX0-kHA/edit?usp=sharing"",""แผน!AV86"")"),0)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IFERROR(__xludf.DUMMYFUNCTION("IMPORTRANGE(""https://docs.google.com/spreadsheets/d/1QqKyyYR6Q21VydFLVH3TRQUabQu_ym0Zz7PgGX0-kHA/edit?usp=sharing"",""แผน!AW86"")"),0)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IFERROR(__xludf.DUMMYFUNCTION("IMPORTRANGE(""https://docs.google.com/spreadsheets/d/1QqKyyYR6Q21VydFLVH3TRQUabQu_ym0Zz7PgGX0-kHA/edit?usp=sharing"",""แผน!AX86"")"),0)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IFERROR(__xludf.DUMMYFUNCTION("IMPORTRANGE(""https://docs.google.com/spreadsheets/d/1QqKyyYR6Q21VydFLVH3TRQUabQu_ym0Zz7PgGX0-kHA/edit?usp=sharing"",""แผน!AY86"")"),0)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IFERROR(__xludf.DUMMYFUNCTION("IMPORTRANGE(""https://docs.google.com/spreadsheets/d/1QqKyyYR6Q21VydFLVH3TRQUabQu_ym0Zz7PgGX0-kHA/edit?usp=sharing"",""แผน!BE86"")"),0)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IFERROR(__xludf.DUMMYFUNCTION("IMPORTRANGE(""https://docs.google.com/spreadsheets/d/1QqKyyYR6Q21VydFLVH3TRQUabQu_ym0Zz7PgGX0-kHA/edit?usp=sharing"",""แผน!AZ86"")"),0)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IFERROR(__xludf.DUMMYFUNCTION("IMPORTRANGE(""https://docs.google.com/spreadsheets/d/1QqKyyYR6Q21VydFLVH3TRQUabQu_ym0Zz7PgGX0-kHA/edit?usp=sharing"",""แผน!BA86"")"),0)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IFERROR(__xludf.DUMMYFUNCTION("IMPORTRANGE(""https://docs.google.com/spreadsheets/d/1QqKyyYR6Q21VydFLVH3TRQUabQu_ym0Zz7PgGX0-kHA/edit?usp=sharing"",""แผน!BB86"")"),0)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IFERROR(__xludf.DUMMYFUNCTION("IMPORTRANGE(""https://docs.google.com/spreadsheets/d/1QqKyyYR6Q21VydFLVH3TRQUabQu_ym0Zz7PgGX0-kHA/edit?usp=sharing"",""แผน!BC86"")"),0)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IFERROR(__xludf.DUMMYFUNCTION("IMPORTRANGE(""https://docs.google.com/spreadsheets/d/1QqKyyYR6Q21VydFLVH3TRQUabQu_ym0Zz7PgGX0-kHA/edit?usp=sharing"",""แผน!BF86"")"),"")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20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25000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25000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25000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IFERROR(__xludf.DUMMYFUNCTION("IMPORTRANGE(""https://docs.google.com/spreadsheets/d/1MeEWN-I1oV_STSDYn1IFDPWt_1FKiwhDph83XaGc0o0/edit?usp=sharing"",""งบพรบ!CY86"")"),25000)</f>
        <v>25000</v>
      </c>
      <c r="M266" s="887">
        <f ca="1">IFERROR(__xludf.DUMMYFUNCTION("IMPORTRANGE(""https://docs.google.com/spreadsheets/d/1MeEWN-I1oV_STSDYn1IFDPWt_1FKiwhDph83XaGc0o0/edit?usp=sharing"",""งบพรบ!DD86"")"),0)</f>
        <v>0</v>
      </c>
      <c r="N266" s="887">
        <f ca="1">IFERROR(__xludf.DUMMYFUNCTION("IMPORTRANGE(""https://docs.google.com/spreadsheets/d/1MeEWN-I1oV_STSDYn1IFDPWt_1FKiwhDph83XaGc0o0/edit?usp=sharing"",""งบพรบ!DF86"")"),0)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IFERROR(__xludf.DUMMYFUNCTION("IMPORTRANGE(""https://docs.google.com/spreadsheets/d/1MeEWN-I1oV_STSDYn1IFDPWt_1FKiwhDph83XaGc0o0/edit?usp=sharing"",""งบพรบ!DB86"")"),0)</f>
        <v>0</v>
      </c>
      <c r="M269" s="887">
        <f ca="1">IFERROR(__xludf.DUMMYFUNCTION("IMPORTRANGE(""https://docs.google.com/spreadsheets/d/1MeEWN-I1oV_STSDYn1IFDPWt_1FKiwhDph83XaGc0o0/edit?usp=sharing"",""งบพรบ!DE86"")"),0)</f>
        <v>0</v>
      </c>
      <c r="N269" s="887">
        <f ca="1">IFERROR(__xludf.DUMMYFUNCTION("IMPORTRANGE(""https://docs.google.com/spreadsheets/d/1MeEWN-I1oV_STSDYn1IFDPWt_1FKiwhDph83XaGc0o0/edit?usp=sharing"",""งบพรบ!DG86"")"),0)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IFERROR(__xludf.DUMMYFUNCTION("IMPORTRANGE(""https://docs.google.com/spreadsheets/d/1QqKyyYR6Q21VydFLVH3TRQUabQu_ym0Zz7PgGX0-kHA/edit?usp=sharing"",""แผน!EA86"")"),20)</f>
        <v>20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IFERROR(__xludf.DUMMYFUNCTION("IMPORTRANGE(""https://docs.google.com/spreadsheets/d/1MeEWN-I1oV_STSDYn1IFDPWt_1FKiwhDph83XaGc0o0/edit?usp=sharing"",""งบพรบ!DI86"")"),0)</f>
        <v>0</v>
      </c>
      <c r="M282" s="887">
        <f ca="1">IFERROR(__xludf.DUMMYFUNCTION("IMPORTRANGE(""https://docs.google.com/spreadsheets/d/1MeEWN-I1oV_STSDYn1IFDPWt_1FKiwhDph83XaGc0o0/edit?usp=sharing"",""งบพรบ!DN86"")"),0)</f>
        <v>0</v>
      </c>
      <c r="N282" s="887">
        <f ca="1">IFERROR(__xludf.DUMMYFUNCTION("IMPORTRANGE(""https://docs.google.com/spreadsheets/d/1MeEWN-I1oV_STSDYn1IFDPWt_1FKiwhDph83XaGc0o0/edit?usp=sharing"",""งบพรบ!DP86"")"),0)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IFERROR(__xludf.DUMMYFUNCTION("IMPORTRANGE(""https://docs.google.com/spreadsheets/d/1MeEWN-I1oV_STSDYn1IFDPWt_1FKiwhDph83XaGc0o0/edit?usp=sharing"",""งบพรบ!DL86"")"),0)</f>
        <v>0</v>
      </c>
      <c r="M285" s="887">
        <f ca="1">IFERROR(__xludf.DUMMYFUNCTION("IMPORTRANGE(""https://docs.google.com/spreadsheets/d/1MeEWN-I1oV_STSDYn1IFDPWt_1FKiwhDph83XaGc0o0/edit?usp=sharing"",""งบพรบ!DO86"")"),0)</f>
        <v>0</v>
      </c>
      <c r="N285" s="887">
        <f ca="1">IFERROR(__xludf.DUMMYFUNCTION("IMPORTRANGE(""https://docs.google.com/spreadsheets/d/1MeEWN-I1oV_STSDYn1IFDPWt_1FKiwhDph83XaGc0o0/edit?usp=sharing"",""งบพรบ!DQ86"")"),0)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IFERROR(__xludf.DUMMYFUNCTION("IMPORTRANGE(""https://docs.google.com/spreadsheets/d/1QqKyyYR6Q21VydFLVH3TRQUabQu_ym0Zz7PgGX0-kHA/edit?usp=sharing"",""แผน!EC86"")"),0)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IFERROR(__xludf.DUMMYFUNCTION("IMPORTRANGE(""https://docs.google.com/spreadsheets/d/1QqKyyYR6Q21VydFLVH3TRQUabQu_ym0Zz7PgGX0-kHA/edit?usp=sharing"",""แผน!EB86"")"),0)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IFERROR(__xludf.DUMMYFUNCTION("IMPORTRANGE(""https://docs.google.com/spreadsheets/d/1QqKyyYR6Q21VydFLVH3TRQUabQu_ym0Zz7PgGX0-kHA/edit?usp=sharing"",""แผน!EB86"")"),0)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IFERROR(__xludf.DUMMYFUNCTION("IMPORTRANGE(""https://docs.google.com/spreadsheets/d/1QqKyyYR6Q21VydFLVH3TRQUabQu_ym0Zz7PgGX0-kHA/edit?usp=sharing"",""แผน!EB86"")"),0)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IFERROR(__xludf.DUMMYFUNCTION("IMPORTRANGE(""https://docs.google.com/spreadsheets/d/1QqKyyYR6Q21VydFLVH3TRQUabQu_ym0Zz7PgGX0-kHA/edit?usp=sharing"",""แผน!EB86"")"),0)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IFERROR(__xludf.DUMMYFUNCTION("IMPORTRANGE(""https://docs.google.com/spreadsheets/d/1QqKyyYR6Q21VydFLVH3TRQUabQu_ym0Zz7PgGX0-kHA/edit?usp=sharing"",""แผน!EB86"")"),0)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20</v>
      </c>
      <c r="J297" s="1190">
        <f t="shared" si="134"/>
        <v>20</v>
      </c>
      <c r="K297" s="1191">
        <f ca="1">IF(I297&gt;0,J297*100/I297,0)</f>
        <v>100</v>
      </c>
      <c r="L297" s="1192"/>
      <c r="M297" s="1192"/>
      <c r="N297" s="1192"/>
      <c r="O297" s="1192"/>
      <c r="P297" s="1192"/>
    </row>
    <row r="298" spans="1:26" ht="19.5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82400</v>
      </c>
      <c r="M298" s="992">
        <f t="shared" ca="1" si="135"/>
        <v>64400</v>
      </c>
      <c r="N298" s="992">
        <f t="shared" ca="1" si="135"/>
        <v>59400</v>
      </c>
      <c r="O298" s="992">
        <f t="shared" ref="O298:O306" ca="1" si="136">IF(L298&gt;0,N298*100/L298,0)</f>
        <v>72.087378640776706</v>
      </c>
      <c r="P298" s="992">
        <f t="shared" ref="P298:P306" ca="1" si="137">IF(M298&gt;0,N298*100/M298,0)</f>
        <v>92.236024844720504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82400</v>
      </c>
      <c r="M300" s="887">
        <f t="shared" ca="1" si="138"/>
        <v>64400</v>
      </c>
      <c r="N300" s="887">
        <f t="shared" ca="1" si="138"/>
        <v>59400</v>
      </c>
      <c r="O300" s="887">
        <f t="shared" ca="1" si="136"/>
        <v>72.087378640776706</v>
      </c>
      <c r="P300" s="887">
        <f t="shared" ca="1" si="137"/>
        <v>92.236024844720504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82400</v>
      </c>
      <c r="M301" s="881">
        <f t="shared" ca="1" si="139"/>
        <v>64400</v>
      </c>
      <c r="N301" s="881">
        <f t="shared" ca="1" si="139"/>
        <v>59400</v>
      </c>
      <c r="O301" s="881">
        <f t="shared" ca="1" si="136"/>
        <v>72.087378640776706</v>
      </c>
      <c r="P301" s="881">
        <f t="shared" ca="1" si="137"/>
        <v>92.236024844720504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IFERROR(__xludf.DUMMYFUNCTION("IMPORTRANGE(""https://docs.google.com/spreadsheets/d/1MeEWN-I1oV_STSDYn1IFDPWt_1FKiwhDph83XaGc0o0/edit?usp=sharing"",""งบพรบ!DS86"")"),82400)</f>
        <v>82400</v>
      </c>
      <c r="M303" s="887">
        <f ca="1">IFERROR(__xludf.DUMMYFUNCTION("IMPORTRANGE(""https://docs.google.com/spreadsheets/d/1MeEWN-I1oV_STSDYn1IFDPWt_1FKiwhDph83XaGc0o0/edit?usp=sharing"",""งบพรบ!DX86"")"),64400)</f>
        <v>64400</v>
      </c>
      <c r="N303" s="887">
        <f ca="1">IFERROR(__xludf.DUMMYFUNCTION("IMPORTRANGE(""https://docs.google.com/spreadsheets/d/1MeEWN-I1oV_STSDYn1IFDPWt_1FKiwhDph83XaGc0o0/edit?usp=sharing"",""งบพรบ!DZ86"")"),59400)</f>
        <v>59400</v>
      </c>
      <c r="O303" s="887">
        <f t="shared" ca="1" si="136"/>
        <v>72.087378640776706</v>
      </c>
      <c r="P303" s="887">
        <f t="shared" ca="1" si="137"/>
        <v>92.236024844720504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IFERROR(__xludf.DUMMYFUNCTION("IMPORTRANGE(""https://docs.google.com/spreadsheets/d/1MeEWN-I1oV_STSDYn1IFDPWt_1FKiwhDph83XaGc0o0/edit?usp=sharing"",""งบพรบ!DV86"")"),0)</f>
        <v>0</v>
      </c>
      <c r="M306" s="887">
        <f ca="1">IFERROR(__xludf.DUMMYFUNCTION("IMPORTRANGE(""https://docs.google.com/spreadsheets/d/1MeEWN-I1oV_STSDYn1IFDPWt_1FKiwhDph83XaGc0o0/edit?usp=sharing"",""งบพรบ!DY86"")"),0)</f>
        <v>0</v>
      </c>
      <c r="N306" s="887">
        <f ca="1">IFERROR(__xludf.DUMMYFUNCTION("IMPORTRANGE(""https://docs.google.com/spreadsheets/d/1MeEWN-I1oV_STSDYn1IFDPWt_1FKiwhDph83XaGc0o0/edit?usp=sharing"",""งบพรบ!EA86"")"),0)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1</v>
      </c>
      <c r="K308" s="881"/>
      <c r="L308" s="881"/>
      <c r="M308" s="881"/>
      <c r="N308" s="881"/>
      <c r="O308" s="881"/>
      <c r="P308" s="881"/>
    </row>
    <row r="309" spans="1:26" ht="18.75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IFERROR(__xludf.DUMMYFUNCTION("IMPORTRANGE(""https://docs.google.com/spreadsheets/d/1QqKyyYR6Q21VydFLVH3TRQUabQu_ym0Zz7PgGX0-kHA/edit?usp=sharing"",""แผน!ED86"")"),20)</f>
        <v>20</v>
      </c>
      <c r="J309" s="1012">
        <v>20</v>
      </c>
      <c r="K309" s="881">
        <f t="shared" ref="K309:K312" ca="1" si="141">IF(I309&gt;0,J309*100/I309,0)</f>
        <v>100</v>
      </c>
      <c r="L309" s="881"/>
      <c r="M309" s="881"/>
      <c r="N309" s="881"/>
      <c r="O309" s="881"/>
      <c r="P309" s="881"/>
    </row>
    <row r="310" spans="1:26" ht="18.75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IFERROR(__xludf.DUMMYFUNCTION("IMPORTRANGE(""https://docs.google.com/spreadsheets/d/1QqKyyYR6Q21VydFLVH3TRQUabQu_ym0Zz7PgGX0-kHA/edit?usp=sharing"",""แผน!ED86"")"),20)</f>
        <v>20</v>
      </c>
      <c r="J310" s="1012">
        <v>20</v>
      </c>
      <c r="K310" s="881">
        <f t="shared" ca="1" si="141"/>
        <v>100</v>
      </c>
      <c r="L310" s="881"/>
      <c r="M310" s="881"/>
      <c r="N310" s="881"/>
      <c r="O310" s="881"/>
      <c r="P310" s="881"/>
    </row>
    <row r="311" spans="1:26" ht="18.75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IFERROR(__xludf.DUMMYFUNCTION("IMPORTRANGE(""https://docs.google.com/spreadsheets/d/1QqKyyYR6Q21VydFLVH3TRQUabQu_ym0Zz7PgGX0-kHA/edit?usp=sharing"",""แผน!ED86"")"),20)</f>
        <v>20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IFERROR(__xludf.DUMMYFUNCTION("IMPORTRANGE(""https://docs.google.com/spreadsheets/d/1QqKyyYR6Q21VydFLVH3TRQUabQu_ym0Zz7PgGX0-kHA/edit?usp=sharing"",""แผน!EE86"")"),4)</f>
        <v>4</v>
      </c>
      <c r="J312" s="1012">
        <v>4</v>
      </c>
      <c r="K312" s="881">
        <f t="shared" ca="1" si="141"/>
        <v>100</v>
      </c>
      <c r="L312" s="881"/>
      <c r="M312" s="881"/>
      <c r="N312" s="881"/>
      <c r="O312" s="881"/>
      <c r="P312" s="881"/>
    </row>
    <row r="313" spans="1:26" ht="19.5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1</v>
      </c>
      <c r="J314" s="1190">
        <f t="shared" si="142"/>
        <v>1</v>
      </c>
      <c r="K314" s="1191">
        <f ca="1">IF(I314&gt;0,J314*100/I314,0)</f>
        <v>100</v>
      </c>
      <c r="L314" s="1192"/>
      <c r="M314" s="1192"/>
      <c r="N314" s="1192"/>
      <c r="O314" s="1192"/>
      <c r="P314" s="1192"/>
    </row>
    <row r="315" spans="1:26" ht="19.5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296000</v>
      </c>
      <c r="M315" s="992">
        <f t="shared" ca="1" si="143"/>
        <v>218500</v>
      </c>
      <c r="N315" s="992">
        <f t="shared" ca="1" si="143"/>
        <v>117392</v>
      </c>
      <c r="O315" s="992">
        <f t="shared" ref="O315:O323" ca="1" si="144">IF(L315&gt;0,N315*100/L315,0)</f>
        <v>39.659459459459462</v>
      </c>
      <c r="P315" s="992">
        <f t="shared" ref="P315:P323" ca="1" si="145">IF(M315&gt;0,N315*100/M315,0)</f>
        <v>53.726315789473681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296000</v>
      </c>
      <c r="M317" s="887">
        <f t="shared" ca="1" si="146"/>
        <v>218500</v>
      </c>
      <c r="N317" s="887">
        <f t="shared" ca="1" si="146"/>
        <v>117392</v>
      </c>
      <c r="O317" s="887">
        <f t="shared" ca="1" si="144"/>
        <v>39.659459459459462</v>
      </c>
      <c r="P317" s="887">
        <f t="shared" ca="1" si="145"/>
        <v>53.726315789473681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296000</v>
      </c>
      <c r="M318" s="881">
        <f t="shared" ca="1" si="147"/>
        <v>218500</v>
      </c>
      <c r="N318" s="881">
        <f t="shared" ca="1" si="147"/>
        <v>117392</v>
      </c>
      <c r="O318" s="881">
        <f t="shared" ca="1" si="144"/>
        <v>39.659459459459462</v>
      </c>
      <c r="P318" s="881">
        <f t="shared" ca="1" si="145"/>
        <v>53.726315789473681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IFERROR(__xludf.DUMMYFUNCTION("IMPORTRANGE(""https://docs.google.com/spreadsheets/d/1MeEWN-I1oV_STSDYn1IFDPWt_1FKiwhDph83XaGc0o0/edit?usp=sharing"",""งบพรบ!EC86"")"),296000)</f>
        <v>296000</v>
      </c>
      <c r="M320" s="887">
        <f ca="1">IFERROR(__xludf.DUMMYFUNCTION("IMPORTRANGE(""https://docs.google.com/spreadsheets/d/1MeEWN-I1oV_STSDYn1IFDPWt_1FKiwhDph83XaGc0o0/edit?usp=sharing"",""งบพรบ!EH86"")"),218500)</f>
        <v>218500</v>
      </c>
      <c r="N320" s="887">
        <f ca="1">IFERROR(__xludf.DUMMYFUNCTION("IMPORTRANGE(""https://docs.google.com/spreadsheets/d/1MeEWN-I1oV_STSDYn1IFDPWt_1FKiwhDph83XaGc0o0/edit?usp=sharing"",""งบพรบ!EJ86"")"),117392)</f>
        <v>117392</v>
      </c>
      <c r="O320" s="887">
        <f t="shared" ca="1" si="144"/>
        <v>39.659459459459462</v>
      </c>
      <c r="P320" s="887">
        <f t="shared" ca="1" si="145"/>
        <v>53.726315789473681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IFERROR(__xludf.DUMMYFUNCTION("IMPORTRANGE(""https://docs.google.com/spreadsheets/d/1MeEWN-I1oV_STSDYn1IFDPWt_1FKiwhDph83XaGc0o0/edit?usp=sharing"",""งบพรบ!EF86"")"),0)</f>
        <v>0</v>
      </c>
      <c r="M323" s="887">
        <f ca="1">IFERROR(__xludf.DUMMYFUNCTION("IMPORTRANGE(""https://docs.google.com/spreadsheets/d/1MeEWN-I1oV_STSDYn1IFDPWt_1FKiwhDph83XaGc0o0/edit?usp=sharing"",""งบพรบ!EI86"")"),0)</f>
        <v>0</v>
      </c>
      <c r="N323" s="887">
        <f ca="1">IFERROR(__xludf.DUMMYFUNCTION("IMPORTRANGE(""https://docs.google.com/spreadsheets/d/1MeEWN-I1oV_STSDYn1IFDPWt_1FKiwhDph83XaGc0o0/edit?usp=sharing"",""งบพรบ!EK86"")"),0)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IFERROR(__xludf.DUMMYFUNCTION("IMPORTRANGE(""https://docs.google.com/spreadsheets/d/1QqKyyYR6Q21VydFLVH3TRQUabQu_ym0Zz7PgGX0-kHA/edit?usp=sharing"",""แผน!EF86"")"),1)</f>
        <v>1</v>
      </c>
      <c r="J325" s="1012">
        <v>1</v>
      </c>
      <c r="K325" s="881">
        <f ca="1">IF(I325&gt;0,J325*100/I325,0)</f>
        <v>100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IFERROR(__xludf.DUMMYFUNCTION("IMPORTRANGE(""https://docs.google.com/spreadsheets/d/1QqKyyYR6Q21VydFLVH3TRQUabQu_ym0Zz7PgGX0-kHA/edit?usp=sharing"",""แผน!EG86"")"),1300)</f>
        <v>1300</v>
      </c>
      <c r="J327" s="1190">
        <f ca="1">J338+J341+J342+J343</f>
        <v>2313</v>
      </c>
      <c r="K327" s="1191">
        <f ca="1">IF(I327&gt;0,J327*100/I327,0)</f>
        <v>177.92307692307693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168000</v>
      </c>
      <c r="M328" s="992">
        <f t="shared" ca="1" si="149"/>
        <v>128500</v>
      </c>
      <c r="N328" s="992">
        <f t="shared" ca="1" si="149"/>
        <v>77212</v>
      </c>
      <c r="O328" s="992">
        <f t="shared" ref="O328:O336" ca="1" si="150">IF(L328&gt;0,N328*100/L328,0)</f>
        <v>45.959523809523809</v>
      </c>
      <c r="P328" s="992">
        <f t="shared" ref="P328:P336" ca="1" si="151">IF(M328&gt;0,N328*100/M328,0)</f>
        <v>60.08715953307393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168000</v>
      </c>
      <c r="M330" s="887">
        <f t="shared" ca="1" si="152"/>
        <v>128500</v>
      </c>
      <c r="N330" s="887">
        <f t="shared" ca="1" si="152"/>
        <v>77212</v>
      </c>
      <c r="O330" s="887">
        <f t="shared" ca="1" si="150"/>
        <v>45.959523809523809</v>
      </c>
      <c r="P330" s="887">
        <f t="shared" ca="1" si="151"/>
        <v>60.08715953307393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168000</v>
      </c>
      <c r="M331" s="881">
        <f t="shared" ca="1" si="153"/>
        <v>128500</v>
      </c>
      <c r="N331" s="881">
        <f t="shared" ca="1" si="153"/>
        <v>77212</v>
      </c>
      <c r="O331" s="881">
        <f t="shared" ca="1" si="150"/>
        <v>45.959523809523809</v>
      </c>
      <c r="P331" s="881">
        <f t="shared" ca="1" si="151"/>
        <v>60.08715953307393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IFERROR(__xludf.DUMMYFUNCTION("IMPORTRANGE(""https://docs.google.com/spreadsheets/d/1MeEWN-I1oV_STSDYn1IFDPWt_1FKiwhDph83XaGc0o0/edit?usp=sharing"",""งบพรบ!EM86"")"),168000)</f>
        <v>168000</v>
      </c>
      <c r="M333" s="887">
        <f ca="1">IFERROR(__xludf.DUMMYFUNCTION("IMPORTRANGE(""https://docs.google.com/spreadsheets/d/1MeEWN-I1oV_STSDYn1IFDPWt_1FKiwhDph83XaGc0o0/edit?usp=sharing"",""งบพรบ!ER86"")"),128500)</f>
        <v>128500</v>
      </c>
      <c r="N333" s="887">
        <f ca="1">IFERROR(__xludf.DUMMYFUNCTION("IMPORTRANGE(""https://docs.google.com/spreadsheets/d/1MeEWN-I1oV_STSDYn1IFDPWt_1FKiwhDph83XaGc0o0/edit?usp=sharing"",""งบพรบ!ET86"")"),77212)</f>
        <v>77212</v>
      </c>
      <c r="O333" s="887">
        <f t="shared" ca="1" si="150"/>
        <v>45.959523809523809</v>
      </c>
      <c r="P333" s="887">
        <f t="shared" ca="1" si="151"/>
        <v>60.08715953307393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IFERROR(__xludf.DUMMYFUNCTION("IMPORTRANGE(""https://docs.google.com/spreadsheets/d/1MeEWN-I1oV_STSDYn1IFDPWt_1FKiwhDph83XaGc0o0/edit?usp=sharing"",""งบพรบ!EP86"")"),0)</f>
        <v>0</v>
      </c>
      <c r="M336" s="887">
        <f ca="1">IFERROR(__xludf.DUMMYFUNCTION("IMPORTRANGE(""https://docs.google.com/spreadsheets/d/1MeEWN-I1oV_STSDYn1IFDPWt_1FKiwhDph83XaGc0o0/edit?usp=sharing"",""งบพรบ!ES86"")"),0)</f>
        <v>0</v>
      </c>
      <c r="N336" s="887">
        <f ca="1">IFERROR(__xludf.DUMMYFUNCTION("IMPORTRANGE(""https://docs.google.com/spreadsheets/d/1MeEWN-I1oV_STSDYn1IFDPWt_1FKiwhDph83XaGc0o0/edit?usp=sharing"",""งบพรบ!EU86"")"),0)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IFERROR(__xludf.DUMMYFUNCTION("IMPORTRANGE(""https://docs.google.com/spreadsheets/d/1QqKyyYR6Q21VydFLVH3TRQUabQu_ym0Zz7PgGX0-kHA/edit?usp=sharing"",""แผน!EG86"")"),1300)</f>
        <v>1300</v>
      </c>
      <c r="J338" s="880">
        <f ca="1">IFERROR(__xludf.DUMMYFUNCTION("IMPORTRANGE(""https://docs.google.com/spreadsheets/d/1kVcqe37tkHyjCSG3S0O1AXqVkqjo8mSIZil3BcpIysc/edit?usp=sharing"",""ศูนย์!D86"")"),2190)</f>
        <v>2190</v>
      </c>
      <c r="K338" s="881">
        <f ca="1">IF(I338&gt;0,J338*100/I338,0)</f>
        <v>168.46153846153845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IFERROR(__xludf.DUMMYFUNCTION("IMPORTRANGE(""https://docs.google.com/spreadsheets/d/1QqKyyYR6Q21VydFLVH3TRQUabQu_ym0Zz7PgGX0-kHA/edit?usp=sharing"",""แผน!EH86"")"),5)</f>
        <v>5</v>
      </c>
      <c r="J340" s="880">
        <f ca="1">IFERROR(__xludf.DUMMYFUNCTION("IMPORTRANGE(""https://docs.google.com/spreadsheets/d/1kVcqe37tkHyjCSG3S0O1AXqVkqjo8mSIZil3BcpIysc/edit?usp=sharing"",""ศูนย์!E86"")"),1)</f>
        <v>1</v>
      </c>
      <c r="K340" s="881">
        <f ca="1">IF(I340&gt;0,J340*100/I340,0)</f>
        <v>20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IFERROR(__xludf.DUMMYFUNCTION("IMPORTRANGE(""https://docs.google.com/spreadsheets/d/1kVcqe37tkHyjCSG3S0O1AXqVkqjo8mSIZil3BcpIysc/edit?usp=sharing"",""ศูนย์!F86"")"),90)</f>
        <v>90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IFERROR(__xludf.DUMMYFUNCTION("IMPORTRANGE(""https://docs.google.com/spreadsheets/d/1kVcqe37tkHyjCSG3S0O1AXqVkqjo8mSIZil3BcpIysc/edit?usp=sharing"",""ศูนย์!G86"")"),2)</f>
        <v>2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IFERROR(__xludf.DUMMYFUNCTION("IMPORTRANGE(""https://docs.google.com/spreadsheets/d/1kVcqe37tkHyjCSG3S0O1AXqVkqjo8mSIZil3BcpIysc/edit?usp=sharing"",""ศูนย์!H86"")"),31)</f>
        <v>31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738610</v>
      </c>
      <c r="M345" s="992">
        <f t="shared" ca="1" si="155"/>
        <v>590170</v>
      </c>
      <c r="N345" s="992">
        <f t="shared" ca="1" si="155"/>
        <v>403893.17</v>
      </c>
      <c r="O345" s="992">
        <f t="shared" ref="O345:O353" ca="1" si="156">IF(L345&gt;0,N345*100/L345,0)</f>
        <v>54.682873234860075</v>
      </c>
      <c r="P345" s="992">
        <f t="shared" ref="P345:P353" ca="1" si="157">IF(M345&gt;0,N345*100/M345,0)</f>
        <v>68.436750427842824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738610</v>
      </c>
      <c r="M347" s="887">
        <f t="shared" ca="1" si="158"/>
        <v>590170</v>
      </c>
      <c r="N347" s="887">
        <f t="shared" ca="1" si="158"/>
        <v>403893.17</v>
      </c>
      <c r="O347" s="887">
        <f t="shared" ca="1" si="156"/>
        <v>54.682873234860075</v>
      </c>
      <c r="P347" s="887">
        <f t="shared" ca="1" si="157"/>
        <v>68.436750427842824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700810</v>
      </c>
      <c r="M348" s="881">
        <f t="shared" ca="1" si="159"/>
        <v>552370</v>
      </c>
      <c r="N348" s="881">
        <f t="shared" ca="1" si="159"/>
        <v>366093.17</v>
      </c>
      <c r="O348" s="881">
        <f t="shared" ca="1" si="156"/>
        <v>52.238576789714756</v>
      </c>
      <c r="P348" s="881">
        <f t="shared" ca="1" si="157"/>
        <v>66.276801781414633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IFERROR(__xludf.DUMMYFUNCTION("IMPORTRANGE(""https://docs.google.com/spreadsheets/d/1MeEWN-I1oV_STSDYn1IFDPWt_1FKiwhDph83XaGc0o0/edit?usp=sharing"",""งบพรบ!EW86"")"),700810)</f>
        <v>700810</v>
      </c>
      <c r="M350" s="887">
        <f ca="1">IFERROR(__xludf.DUMMYFUNCTION("IMPORTRANGE(""https://docs.google.com/spreadsheets/d/1MeEWN-I1oV_STSDYn1IFDPWt_1FKiwhDph83XaGc0o0/edit?usp=sharing"",""งบพรบ!FB86"")"),552370)</f>
        <v>552370</v>
      </c>
      <c r="N350" s="887">
        <f ca="1">IFERROR(__xludf.DUMMYFUNCTION("IMPORTRANGE(""https://docs.google.com/spreadsheets/d/1MeEWN-I1oV_STSDYn1IFDPWt_1FKiwhDph83XaGc0o0/edit?usp=sharing"",""งบพรบ!FD86"")"),366093.17)</f>
        <v>366093.17</v>
      </c>
      <c r="O350" s="887">
        <f t="shared" ca="1" si="156"/>
        <v>52.238576789714756</v>
      </c>
      <c r="P350" s="887">
        <f t="shared" ca="1" si="157"/>
        <v>66.276801781414633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37800</v>
      </c>
      <c r="M351" s="881">
        <f t="shared" ca="1" si="160"/>
        <v>37800</v>
      </c>
      <c r="N351" s="881">
        <f t="shared" ca="1" si="160"/>
        <v>37800</v>
      </c>
      <c r="O351" s="881">
        <f t="shared" ca="1" si="156"/>
        <v>100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IFERROR(__xludf.DUMMYFUNCTION("IMPORTRANGE(""https://docs.google.com/spreadsheets/d/1MeEWN-I1oV_STSDYn1IFDPWt_1FKiwhDph83XaGc0o0/edit?usp=sharing"",""งบพรบ!EZ86"")"),37800)</f>
        <v>37800</v>
      </c>
      <c r="M353" s="887">
        <f ca="1">IFERROR(__xludf.DUMMYFUNCTION("IMPORTRANGE(""https://docs.google.com/spreadsheets/d/1MeEWN-I1oV_STSDYn1IFDPWt_1FKiwhDph83XaGc0o0/edit?usp=sharing"",""งบพรบ!FC86"")"),37800)</f>
        <v>37800</v>
      </c>
      <c r="N353" s="887">
        <f ca="1">IFERROR(__xludf.DUMMYFUNCTION("IMPORTRANGE(""https://docs.google.com/spreadsheets/d/1MeEWN-I1oV_STSDYn1IFDPWt_1FKiwhDph83XaGc0o0/edit?usp=sharing"",""งบพรบ!FE86"")"),37800)</f>
        <v>37800</v>
      </c>
      <c r="O353" s="887">
        <f t="shared" ca="1" si="156"/>
        <v>100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IFERROR(__xludf.DUMMYFUNCTION("IMPORTRANGE(""https://docs.google.com/spreadsheets/d/1QqKyyYR6Q21VydFLVH3TRQUabQu_ym0Zz7PgGX0-kHA/edit?usp=sharing"",""แผน!EP86"")"),140)</f>
        <v>140</v>
      </c>
      <c r="J355" s="1206">
        <f ca="1">J362</f>
        <v>88</v>
      </c>
      <c r="K355" s="1207">
        <f ca="1">IF(I355&gt;0,J355*100/I355,0)</f>
        <v>62.857142857142854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IFERROR(__xludf.DUMMYFUNCTION("IMPORTRANGE(""https://docs.google.com/spreadsheets/d/1XWAQStnk-4SwqDmLtmXYiTMKHgktTP8We1SCoS47DrQ/edit?usp=sharing"",""จัดที่ดิน!W86"")"),110)</f>
        <v>110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IFERROR(__xludf.DUMMYFUNCTION("IMPORTRANGE(""https://docs.google.com/spreadsheets/d/1QqKyyYR6Q21VydFLVH3TRQUabQu_ym0Zz7PgGX0-kHA/edit?usp=sharing"",""แผน!EO86"")"),1400)</f>
        <v>1400</v>
      </c>
      <c r="J359" s="880">
        <f ca="1">IFERROR(__xludf.DUMMYFUNCTION("IMPORTRANGE(""https://docs.google.com/spreadsheets/d/1XWAQStnk-4SwqDmLtmXYiTMKHgktTP8We1SCoS47DrQ/edit?usp=sharing"",""จัดที่ดิน!X86"")"),835.42)</f>
        <v>835.42</v>
      </c>
      <c r="K359" s="881">
        <f t="shared" ca="1" si="161"/>
        <v>59.67285714285714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IFERROR(__xludf.DUMMYFUNCTION("IMPORTRANGE(""https://docs.google.com/spreadsheets/d/1QqKyyYR6Q21VydFLVH3TRQUabQu_ym0Zz7PgGX0-kHA/edit?usp=sharing"",""แผน!EP86"")"),140)</f>
        <v>140</v>
      </c>
      <c r="J360" s="880">
        <f ca="1">IFERROR(__xludf.DUMMYFUNCTION("IMPORTRANGE(""https://docs.google.com/spreadsheets/d/1XWAQStnk-4SwqDmLtmXYiTMKHgktTP8We1SCoS47DrQ/edit?usp=sharing"",""จัดที่ดิน!Y86"")"),87)</f>
        <v>87</v>
      </c>
      <c r="K360" s="881">
        <f t="shared" ca="1" si="161"/>
        <v>62.142857142857146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IFERROR(__xludf.DUMMYFUNCTION("IMPORTRANGE(""https://docs.google.com/spreadsheets/d/1XWAQStnk-4SwqDmLtmXYiTMKHgktTP8We1SCoS47DrQ/edit?usp=sharing"",""จัดที่ดิน!Z86"")"),650.46)</f>
        <v>650.46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IFERROR(__xludf.DUMMYFUNCTION("IMPORTRANGE(""https://docs.google.com/spreadsheets/d/1QqKyyYR6Q21VydFLVH3TRQUabQu_ym0Zz7PgGX0-kHA/edit?usp=sharing"",""แผน!EP86"")"),140)</f>
        <v>140</v>
      </c>
      <c r="J362" s="880">
        <f ca="1">IFERROR(__xludf.DUMMYFUNCTION("IMPORTRANGE(""https://docs.google.com/spreadsheets/d/1XWAQStnk-4SwqDmLtmXYiTMKHgktTP8We1SCoS47DrQ/edit?usp=sharing"",""จัดที่ดิน!AA86"")"),88)</f>
        <v>88</v>
      </c>
      <c r="K362" s="881">
        <f t="shared" ca="1" si="161"/>
        <v>62.857142857142854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IFERROR(__xludf.DUMMYFUNCTION("IMPORTRANGE(""https://docs.google.com/spreadsheets/d/1XWAQStnk-4SwqDmLtmXYiTMKHgktTP8We1SCoS47DrQ/edit?usp=sharing"",""จัดที่ดิน!AB86"")"),655.569999999999)</f>
        <v>655.56999999999903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290</v>
      </c>
      <c r="J364" s="1219">
        <f t="shared" ca="1" si="162"/>
        <v>292</v>
      </c>
      <c r="K364" s="1220">
        <f t="shared" ca="1" si="161"/>
        <v>100.68965517241379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IFERROR(__xludf.DUMMYFUNCTION("IMPORTRANGE(""https://docs.google.com/spreadsheets/d/1QqKyyYR6Q21VydFLVH3TRQUabQu_ym0Zz7PgGX0-kHA/edit?usp=sharing"",""แผน!EJ86"")"),40)</f>
        <v>40</v>
      </c>
      <c r="J365" s="1227">
        <f ca="1">J372</f>
        <v>46</v>
      </c>
      <c r="K365" s="1228">
        <f t="shared" ca="1" si="161"/>
        <v>115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IFERROR(__xludf.DUMMYFUNCTION("IMPORTRANGE(""https://docs.google.com/spreadsheets/d/1XWAQStnk-4SwqDmLtmXYiTMKHgktTP8We1SCoS47DrQ/edit?usp=sharing"",""จัดที่ดิน!E86"")"),44)</f>
        <v>44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IFERROR(__xludf.DUMMYFUNCTION("IMPORTRANGE(""https://docs.google.com/spreadsheets/d/1QqKyyYR6Q21VydFLVH3TRQUabQu_ym0Zz7PgGX0-kHA/edit?usp=sharing"",""แผน!EI86"")"),400)</f>
        <v>400</v>
      </c>
      <c r="J369" s="880">
        <f ca="1">IFERROR(__xludf.DUMMYFUNCTION("IMPORTRANGE(""https://docs.google.com/spreadsheets/d/1XWAQStnk-4SwqDmLtmXYiTMKHgktTP8We1SCoS47DrQ/edit?usp=sharing"",""จัดที่ดิน!F86"")"),282.81)</f>
        <v>282.81</v>
      </c>
      <c r="K369" s="881">
        <f t="shared" ca="1" si="163"/>
        <v>70.702500000000001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IFERROR(__xludf.DUMMYFUNCTION("IMPORTRANGE(""https://docs.google.com/spreadsheets/d/1QqKyyYR6Q21VydFLVH3TRQUabQu_ym0Zz7PgGX0-kHA/edit?usp=sharing"",""แผน!EJ86"")"),40)</f>
        <v>40</v>
      </c>
      <c r="J370" s="880">
        <f ca="1">IFERROR(__xludf.DUMMYFUNCTION("IMPORTRANGE(""https://docs.google.com/spreadsheets/d/1XWAQStnk-4SwqDmLtmXYiTMKHgktTP8We1SCoS47DrQ/edit?usp=sharing"",""จัดที่ดิน!G86"")"),46)</f>
        <v>46</v>
      </c>
      <c r="K370" s="881">
        <f t="shared" ca="1" si="163"/>
        <v>115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IFERROR(__xludf.DUMMYFUNCTION("IMPORTRANGE(""https://docs.google.com/spreadsheets/d/1XWAQStnk-4SwqDmLtmXYiTMKHgktTP8We1SCoS47DrQ/edit?usp=sharing"",""จัดที่ดิน!H86"")"),320.74)</f>
        <v>320.74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IFERROR(__xludf.DUMMYFUNCTION("IMPORTRANGE(""https://docs.google.com/spreadsheets/d/1QqKyyYR6Q21VydFLVH3TRQUabQu_ym0Zz7PgGX0-kHA/edit?usp=sharing"",""แผน!EJ86"")"),40)</f>
        <v>40</v>
      </c>
      <c r="J372" s="880">
        <f ca="1">IFERROR(__xludf.DUMMYFUNCTION("IMPORTRANGE(""https://docs.google.com/spreadsheets/d/1XWAQStnk-4SwqDmLtmXYiTMKHgktTP8We1SCoS47DrQ/edit?usp=sharing"",""จัดที่ดิน!I86"")"),46)</f>
        <v>46</v>
      </c>
      <c r="K372" s="881">
        <f t="shared" ca="1" si="163"/>
        <v>115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IFERROR(__xludf.DUMMYFUNCTION("IMPORTRANGE(""https://docs.google.com/spreadsheets/d/1XWAQStnk-4SwqDmLtmXYiTMKHgktTP8We1SCoS47DrQ/edit?usp=sharing"",""จัดที่ดิน!J86"")"),320.74)</f>
        <v>320.74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IFERROR(__xludf.DUMMYFUNCTION("IMPORTRANGE(""https://docs.google.com/spreadsheets/d/1QqKyyYR6Q21VydFLVH3TRQUabQu_ym0Zz7PgGX0-kHA/edit?usp=sharing"",""แผน!EU86"")"),250)</f>
        <v>250</v>
      </c>
      <c r="J374" s="1227">
        <f ca="1">J381</f>
        <v>246</v>
      </c>
      <c r="K374" s="1228">
        <f t="shared" ca="1" si="163"/>
        <v>98.4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IFERROR(__xludf.DUMMYFUNCTION("IMPORTRANGE(""https://docs.google.com/spreadsheets/d/1XWAQStnk-4SwqDmLtmXYiTMKHgktTP8We1SCoS47DrQ/edit?usp=sharing"",""จัดที่ดิน!AH86"")"),66)</f>
        <v>66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IFERROR(__xludf.DUMMYFUNCTION("IMPORTRANGE(""https://docs.google.com/spreadsheets/d/1QqKyyYR6Q21VydFLVH3TRQUabQu_ym0Zz7PgGX0-kHA/edit?usp=sharing"",""แผน!ET86"")"),1000)</f>
        <v>1000</v>
      </c>
      <c r="J378" s="880">
        <f ca="1">IFERROR(__xludf.DUMMYFUNCTION("IMPORTRANGE(""https://docs.google.com/spreadsheets/d/1XWAQStnk-4SwqDmLtmXYiTMKHgktTP8We1SCoS47DrQ/edit?usp=sharing"",""จัดที่ดิน!AI86"")"),552.61)</f>
        <v>552.61</v>
      </c>
      <c r="K378" s="881">
        <f t="shared" ca="1" si="164"/>
        <v>55.261000000000003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IFERROR(__xludf.DUMMYFUNCTION("IMPORTRANGE(""https://docs.google.com/spreadsheets/d/1QqKyyYR6Q21VydFLVH3TRQUabQu_ym0Zz7PgGX0-kHA/edit?usp=sharing"",""แผน!EU86"")"),250)</f>
        <v>250</v>
      </c>
      <c r="J379" s="880">
        <f ca="1">IFERROR(__xludf.DUMMYFUNCTION("IMPORTRANGE(""https://docs.google.com/spreadsheets/d/1XWAQStnk-4SwqDmLtmXYiTMKHgktTP8We1SCoS47DrQ/edit?usp=sharing"",""จัดที่ดิน!AJ86"")"),245)</f>
        <v>245</v>
      </c>
      <c r="K379" s="881">
        <f t="shared" ca="1" si="164"/>
        <v>98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IFERROR(__xludf.DUMMYFUNCTION("IMPORTRANGE(""https://docs.google.com/spreadsheets/d/1XWAQStnk-4SwqDmLtmXYiTMKHgktTP8We1SCoS47DrQ/edit?usp=sharing"",""จัดที่ดิน!AK86"")"),2822.22)</f>
        <v>2822.22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IFERROR(__xludf.DUMMYFUNCTION("IMPORTRANGE(""https://docs.google.com/spreadsheets/d/1QqKyyYR6Q21VydFLVH3TRQUabQu_ym0Zz7PgGX0-kHA/edit?usp=sharing"",""แผน!EU86"")"),250)</f>
        <v>250</v>
      </c>
      <c r="J381" s="880">
        <f ca="1">IFERROR(__xludf.DUMMYFUNCTION("IMPORTRANGE(""https://docs.google.com/spreadsheets/d/1XWAQStnk-4SwqDmLtmXYiTMKHgktTP8We1SCoS47DrQ/edit?usp=sharing"",""จัดที่ดิน!AL86"")"),246)</f>
        <v>246</v>
      </c>
      <c r="K381" s="881">
        <f t="shared" ca="1" si="164"/>
        <v>98.4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IFERROR(__xludf.DUMMYFUNCTION("IMPORTRANGE(""https://docs.google.com/spreadsheets/d/1XWAQStnk-4SwqDmLtmXYiTMKHgktTP8We1SCoS47DrQ/edit?usp=sharing"",""จัดที่ดิน!AM86"")"),2827.33)</f>
        <v>2827.33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IFERROR(__xludf.DUMMYFUNCTION("IMPORTRANGE(""https://docs.google.com/spreadsheets/d/1QqKyyYR6Q21VydFLVH3TRQUabQu_ym0Zz7PgGX0-kHA/edit?usp=sharing"",""แผน!EW86"")"),20)</f>
        <v>20</v>
      </c>
      <c r="J385" s="1138">
        <f ca="1">IFERROR(__xludf.DUMMYFUNCTION("IMPORTRANGE(""https://docs.google.com/spreadsheets/d/1XWAQStnk-4SwqDmLtmXYiTMKHgktTP8We1SCoS47DrQ/edit?usp=sharing"",""จัดที่ดิน!AP86"")"),9)</f>
        <v>9</v>
      </c>
      <c r="K385" s="1239">
        <f ca="1">IF(I385&gt;0,J385*100/I385,0)</f>
        <v>45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IFERROR(__xludf.DUMMYFUNCTION("IMPORTRANGE(""https://docs.google.com/spreadsheets/d/1MeEWN-I1oV_STSDYn1IFDPWt_1FKiwhDph83XaGc0o0/edit?usp=sharing"",""งบพรบ!FG86"")"),0)</f>
        <v>0</v>
      </c>
      <c r="M394" s="887">
        <f ca="1">IFERROR(__xludf.DUMMYFUNCTION("IMPORTRANGE(""https://docs.google.com/spreadsheets/d/1MeEWN-I1oV_STSDYn1IFDPWt_1FKiwhDph83XaGc0o0/edit?usp=sharing"",""งบพรบ!FL86"")"),0)</f>
        <v>0</v>
      </c>
      <c r="N394" s="887">
        <f ca="1">IFERROR(__xludf.DUMMYFUNCTION("IMPORTRANGE(""https://docs.google.com/spreadsheets/d/1MeEWN-I1oV_STSDYn1IFDPWt_1FKiwhDph83XaGc0o0/edit?usp=sharing"",""งบพรบ!FN86"")"),0)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IFERROR(__xludf.DUMMYFUNCTION("IMPORTRANGE(""https://docs.google.com/spreadsheets/d/1MeEWN-I1oV_STSDYn1IFDPWt_1FKiwhDph83XaGc0o0/edit?usp=sharing"",""งบพรบ!FJ86"")"),0)</f>
        <v>0</v>
      </c>
      <c r="M397" s="887">
        <f ca="1">IFERROR(__xludf.DUMMYFUNCTION("IMPORTRANGE(""https://docs.google.com/spreadsheets/d/1MeEWN-I1oV_STSDYn1IFDPWt_1FKiwhDph83XaGc0o0/edit?usp=sharing"",""งบพรบ!FM86"")"),0)</f>
        <v>0</v>
      </c>
      <c r="N397" s="887">
        <f ca="1">IFERROR(__xludf.DUMMYFUNCTION("IMPORTRANGE(""https://docs.google.com/spreadsheets/d/1MeEWN-I1oV_STSDYn1IFDPWt_1FKiwhDph83XaGc0o0/edit?usp=sharing"",""งบพรบ!FO86"")"),0)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IFERROR(__xludf.DUMMYFUNCTION("IMPORTRANGE(""https://docs.google.com/spreadsheets/d/1MeEWN-I1oV_STSDYn1IFDPWt_1FKiwhDph83XaGc0o0/edit?usp=sharing"",""งบพรบ!FQ86"")"),0)</f>
        <v>0</v>
      </c>
      <c r="M407" s="887">
        <f ca="1">IFERROR(__xludf.DUMMYFUNCTION("IMPORTRANGE(""https://docs.google.com/spreadsheets/d/1MeEWN-I1oV_STSDYn1IFDPWt_1FKiwhDph83XaGc0o0/edit?usp=sharing"",""งบพรบ!FV86"")"),0)</f>
        <v>0</v>
      </c>
      <c r="N407" s="887">
        <f ca="1">IFERROR(__xludf.DUMMYFUNCTION("IMPORTRANGE(""https://docs.google.com/spreadsheets/d/1MeEWN-I1oV_STSDYn1IFDPWt_1FKiwhDph83XaGc0o0/edit?usp=sharing"",""งบพรบ!FX86"")"),0)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IFERROR(__xludf.DUMMYFUNCTION("IMPORTRANGE(""https://docs.google.com/spreadsheets/d/1MeEWN-I1oV_STSDYn1IFDPWt_1FKiwhDph83XaGc0o0/edit?usp=sharing"",""งบพรบ!FT86"")"),0)</f>
        <v>0</v>
      </c>
      <c r="M410" s="887">
        <f ca="1">IFERROR(__xludf.DUMMYFUNCTION("IMPORTRANGE(""https://docs.google.com/spreadsheets/d/1MeEWN-I1oV_STSDYn1IFDPWt_1FKiwhDph83XaGc0o0/edit?usp=sharing"",""งบพรบ!FW86"")"),0)</f>
        <v>0</v>
      </c>
      <c r="N410" s="887">
        <f ca="1">IFERROR(__xludf.DUMMYFUNCTION("IMPORTRANGE(""https://docs.google.com/spreadsheets/d/1MeEWN-I1oV_STSDYn1IFDPWt_1FKiwhDph83XaGc0o0/edit?usp=sharing"",""งบพรบ!FY86"")"),0)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1882353</v>
      </c>
      <c r="M414" s="1281">
        <f t="shared" ca="1" si="181"/>
        <v>1882353</v>
      </c>
      <c r="N414" s="1281">
        <f t="shared" si="181"/>
        <v>834145</v>
      </c>
      <c r="O414" s="1281">
        <f ca="1">IF(L414&gt;0,N414*100/L414,0)</f>
        <v>44.313951740189005</v>
      </c>
      <c r="P414" s="1281">
        <f ca="1">IF(M414&gt;0,N414*100/M414,0)</f>
        <v>44.313951740189005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20</v>
      </c>
      <c r="J417" s="1294">
        <f t="shared" ca="1" si="182"/>
        <v>20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0</v>
      </c>
      <c r="K418" s="1295">
        <f t="shared" ca="1" si="183"/>
        <v>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78660</v>
      </c>
      <c r="M419" s="992">
        <f t="shared" ca="1" si="184"/>
        <v>78660</v>
      </c>
      <c r="N419" s="992">
        <f t="shared" si="184"/>
        <v>69670</v>
      </c>
      <c r="O419" s="992">
        <f t="shared" ref="O419:O424" ca="1" si="185">IF(L419&gt;0,N419*100/L419,0)</f>
        <v>88.571065344520719</v>
      </c>
      <c r="P419" s="992">
        <f t="shared" ref="P419:P424" ca="1" si="186">IF(M419&gt;0,N419*100/M419,0)</f>
        <v>88.571065344520719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78660</v>
      </c>
      <c r="M421" s="887">
        <f t="shared" ca="1" si="187"/>
        <v>78660</v>
      </c>
      <c r="N421" s="887">
        <f t="shared" si="187"/>
        <v>69670</v>
      </c>
      <c r="O421" s="887">
        <f t="shared" ca="1" si="185"/>
        <v>88.571065344520719</v>
      </c>
      <c r="P421" s="887">
        <f t="shared" ca="1" si="186"/>
        <v>88.571065344520719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78660</v>
      </c>
      <c r="M422" s="881">
        <f t="shared" ca="1" si="188"/>
        <v>78660</v>
      </c>
      <c r="N422" s="881">
        <f t="shared" si="188"/>
        <v>69670</v>
      </c>
      <c r="O422" s="881">
        <f t="shared" ca="1" si="185"/>
        <v>88.571065344520719</v>
      </c>
      <c r="P422" s="881">
        <f t="shared" ca="1" si="186"/>
        <v>88.571065344520719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IFERROR(__xludf.DUMMYFUNCTION("IMPORTRANGE(""https://docs.google.com/spreadsheets/d/1QqKyyYR6Q21VydFLVH3TRQUabQu_ym0Zz7PgGX0-kHA/edit?usp=sharing"",""แผน!EY86"")"),78660)</f>
        <v>78660</v>
      </c>
      <c r="M424" s="887">
        <f ca="1">L424</f>
        <v>78660</v>
      </c>
      <c r="N424" s="887">
        <f>N425+N426+N427+N428</f>
        <v>69670</v>
      </c>
      <c r="O424" s="887">
        <f t="shared" ca="1" si="185"/>
        <v>88.571065344520719</v>
      </c>
      <c r="P424" s="887">
        <f t="shared" ca="1" si="186"/>
        <v>88.571065344520719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48400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21270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IFERROR(__xludf.DUMMYFUNCTION("IMPORTRANGE(""https://docs.google.com/spreadsheets/d/1QqKyyYR6Q21VydFLVH3TRQUabQu_ym0Zz7PgGX0-kHA/edit?usp=sharing"",""แผน!FB86"")"),0)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20</v>
      </c>
      <c r="J433" s="1019">
        <f ca="1">IF(AND(J435=I435,J437=I437,J439=I439),I437+I439,IF(AND(J435=I437,J437=I437),I437,IF(AND(J435=I439,J439=I439),I439,0)))</f>
        <v>20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0</v>
      </c>
      <c r="K434" s="1020">
        <f t="shared" ca="1" si="192"/>
        <v>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IFERROR(__xludf.DUMMYFUNCTION("IMPORTRANGE(""https://docs.google.com/spreadsheets/d/1QqKyyYR6Q21VydFLVH3TRQUabQu_ym0Zz7PgGX0-kHA/edit?usp=sharing"",""แผน!FC86"")"),20)</f>
        <v>20</v>
      </c>
      <c r="J435" s="583">
        <v>20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IFERROR(__xludf.DUMMYFUNCTION("IMPORTRANGE(""https://docs.google.com/spreadsheets/d/1QqKyyYR6Q21VydFLVH3TRQUabQu_ym0Zz7PgGX0-kHA/edit?usp=sharing"",""แผน!FD86"")"),0)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IFERROR(__xludf.DUMMYFUNCTION("IMPORTRANGE(""https://docs.google.com/spreadsheets/d/1QqKyyYR6Q21VydFLVH3TRQUabQu_ym0Zz7PgGX0-kHA/edit?usp=sharing"",""แผน!FE86"")"),0)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IFERROR(__xludf.DUMMYFUNCTION("IMPORTRANGE(""https://docs.google.com/spreadsheets/d/1QqKyyYR6Q21VydFLVH3TRQUabQu_ym0Zz7PgGX0-kHA/edit?usp=sharing"",""แผน!FF86"")"),20)</f>
        <v>20</v>
      </c>
      <c r="J439" s="583">
        <v>20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IFERROR(__xludf.DUMMYFUNCTION("IMPORTRANGE(""https://docs.google.com/spreadsheets/d/1QqKyyYR6Q21VydFLVH3TRQUabQu_ym0Zz7PgGX0-kHA/edit?usp=sharing"",""แผน!FG86"")"),1)</f>
        <v>1</v>
      </c>
      <c r="J440" s="1012">
        <v>0</v>
      </c>
      <c r="K440" s="881">
        <f t="shared" ca="1" si="194"/>
        <v>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IFERROR(__xludf.DUMMYFUNCTION("IMPORTRANGE(""https://docs.google.com/spreadsheets/d/1QqKyyYR6Q21VydFLVH3TRQUabQu_ym0Zz7PgGX0-kHA/edit?usp=sharing"",""แผน!FH86"")"),0)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60</v>
      </c>
      <c r="J442" s="1310">
        <f t="shared" si="195"/>
        <v>60</v>
      </c>
      <c r="K442" s="1311">
        <f t="shared" ca="1" si="194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280</v>
      </c>
      <c r="J443" s="1294">
        <f t="shared" si="196"/>
        <v>280</v>
      </c>
      <c r="K443" s="1295">
        <f t="shared" ca="1" si="194"/>
        <v>100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555600</v>
      </c>
      <c r="M444" s="1020">
        <f t="shared" ca="1" si="197"/>
        <v>555600</v>
      </c>
      <c r="N444" s="1020">
        <f t="shared" si="197"/>
        <v>166300</v>
      </c>
      <c r="O444" s="1020">
        <f t="shared" ref="O444:O449" ca="1" si="198">IF(L444&gt;0,N444*100/L444,0)</f>
        <v>29.931605471562275</v>
      </c>
      <c r="P444" s="1020">
        <f t="shared" ref="P444:P449" ca="1" si="199">IF(M444&gt;0,N444*100/M444,0)</f>
        <v>29.931605471562275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555600</v>
      </c>
      <c r="M446" s="887">
        <f t="shared" ca="1" si="200"/>
        <v>555600</v>
      </c>
      <c r="N446" s="887">
        <f t="shared" si="200"/>
        <v>166300</v>
      </c>
      <c r="O446" s="887">
        <f t="shared" ca="1" si="198"/>
        <v>29.931605471562275</v>
      </c>
      <c r="P446" s="887">
        <f t="shared" ca="1" si="199"/>
        <v>29.931605471562275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555600</v>
      </c>
      <c r="M447" s="881">
        <f t="shared" ca="1" si="201"/>
        <v>555600</v>
      </c>
      <c r="N447" s="881">
        <f t="shared" si="201"/>
        <v>166300</v>
      </c>
      <c r="O447" s="881">
        <f t="shared" ca="1" si="198"/>
        <v>29.931605471562275</v>
      </c>
      <c r="P447" s="881">
        <f t="shared" ca="1" si="199"/>
        <v>29.931605471562275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IFERROR(__xludf.DUMMYFUNCTION("IMPORTRANGE(""https://docs.google.com/spreadsheets/d/1QqKyyYR6Q21VydFLVH3TRQUabQu_ym0Zz7PgGX0-kHA/edit?usp=sharing"",""แผน!FJ86"")"),555600)</f>
        <v>555600</v>
      </c>
      <c r="M449" s="887">
        <f ca="1">L449</f>
        <v>555600</v>
      </c>
      <c r="N449" s="887">
        <f>N450+N451+N452+N453</f>
        <v>166300</v>
      </c>
      <c r="O449" s="887">
        <f t="shared" ca="1" si="198"/>
        <v>29.931605471562275</v>
      </c>
      <c r="P449" s="887">
        <f t="shared" ca="1" si="199"/>
        <v>29.931605471562275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79200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65000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22100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IFERROR(__xludf.DUMMYFUNCTION("IMPORTRANGE(""https://docs.google.com/spreadsheets/d/1QqKyyYR6Q21VydFLVH3TRQUabQu_ym0Zz7PgGX0-kHA/edit?usp=sharing"",""แผน!FM86"")"),0)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IFERROR(__xludf.DUMMYFUNCTION("IMPORTRANGE(""https://docs.google.com/spreadsheets/d/1QqKyyYR6Q21VydFLVH3TRQUabQu_ym0Zz7PgGX0-kHA/edit?usp=sharing"",""แผน!FN86"")"),60)</f>
        <v>60</v>
      </c>
      <c r="J460" s="1012">
        <v>60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IFERROR(__xludf.DUMMYFUNCTION("IMPORTRANGE(""https://docs.google.com/spreadsheets/d/1QqKyyYR6Q21VydFLVH3TRQUabQu_ym0Zz7PgGX0-kHA/edit?usp=sharing"",""แผน!FO86"")"),280)</f>
        <v>280</v>
      </c>
      <c r="J462" s="1012">
        <v>280</v>
      </c>
      <c r="K462" s="881">
        <f ca="1">IF(I462&gt;0,J462*100/I462,0)</f>
        <v>100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IFERROR(__xludf.DUMMYFUNCTION("IMPORTRANGE(""https://docs.google.com/spreadsheets/d/1QqKyyYR6Q21VydFLVH3TRQUabQu_ym0Zz7PgGX0-kHA/edit?usp=sharing"",""แผน!FO86"")"),280)</f>
        <v>280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IFERROR(__xludf.DUMMYFUNCTION("IMPORTRANGE(""https://docs.google.com/spreadsheets/d/1QqKyyYR6Q21VydFLVH3TRQUabQu_ym0Zz7PgGX0-kHA/edit?usp=sharing"",""แผน!FN86"")"),60)</f>
        <v>60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IFERROR(__xludf.DUMMYFUNCTION("IMPORTRANGE(""https://docs.google.com/spreadsheets/d/1QqKyyYR6Q21VydFLVH3TRQUabQu_ym0Zz7PgGX0-kHA/edit?usp=sharing"",""แผน!FX86"")"),21)</f>
        <v>21</v>
      </c>
      <c r="J465" s="1310">
        <f>J485+J489+J492</f>
        <v>21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IFERROR(__xludf.DUMMYFUNCTION("IMPORTRANGE(""https://docs.google.com/spreadsheets/d/1QqKyyYR6Q21VydFLVH3TRQUabQu_ym0Zz7PgGX0-kHA/edit?usp=sharing"",""แผน!FW86"")"),200)</f>
        <v>200</v>
      </c>
      <c r="J466" s="1294">
        <f>J495+J498</f>
        <v>0</v>
      </c>
      <c r="K466" s="1295">
        <f t="shared" ca="1" si="205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189883</v>
      </c>
      <c r="M467" s="1020">
        <f t="shared" ca="1" si="206"/>
        <v>189883</v>
      </c>
      <c r="N467" s="1020">
        <f t="shared" si="206"/>
        <v>75143</v>
      </c>
      <c r="O467" s="1020">
        <f t="shared" ref="O467:O472" ca="1" si="207">IF(L467&gt;0,N467*100/L467,0)</f>
        <v>39.573316199975771</v>
      </c>
      <c r="P467" s="1020">
        <f t="shared" ref="P467:P472" ca="1" si="208">IF(M467&gt;0,N467*100/M467,0)</f>
        <v>39.573316199975771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189883</v>
      </c>
      <c r="M469" s="887">
        <f t="shared" ca="1" si="209"/>
        <v>189883</v>
      </c>
      <c r="N469" s="887">
        <f t="shared" si="209"/>
        <v>75143</v>
      </c>
      <c r="O469" s="887">
        <f t="shared" ca="1" si="207"/>
        <v>39.573316199975771</v>
      </c>
      <c r="P469" s="887">
        <f t="shared" ca="1" si="208"/>
        <v>39.573316199975771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189883</v>
      </c>
      <c r="M470" s="881">
        <f t="shared" ca="1" si="210"/>
        <v>189883</v>
      </c>
      <c r="N470" s="881">
        <f t="shared" si="210"/>
        <v>75143</v>
      </c>
      <c r="O470" s="881">
        <f t="shared" ca="1" si="207"/>
        <v>39.573316199975771</v>
      </c>
      <c r="P470" s="881">
        <f t="shared" ca="1" si="208"/>
        <v>39.573316199975771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IFERROR(__xludf.DUMMYFUNCTION("IMPORTRANGE(""https://docs.google.com/spreadsheets/d/1QqKyyYR6Q21VydFLVH3TRQUabQu_ym0Zz7PgGX0-kHA/edit?usp=sharing"",""แผน!FS86"")"),189883)</f>
        <v>189883</v>
      </c>
      <c r="M472" s="887">
        <f ca="1">L472</f>
        <v>189883</v>
      </c>
      <c r="N472" s="887">
        <f>N473+N474+N475+N476</f>
        <v>75143</v>
      </c>
      <c r="O472" s="887">
        <f t="shared" ca="1" si="207"/>
        <v>39.573316199975771</v>
      </c>
      <c r="P472" s="887">
        <f t="shared" ca="1" si="208"/>
        <v>39.573316199975771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39933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24000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v>11210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IFERROR(__xludf.DUMMYFUNCTION("IMPORTRANGE(""https://docs.google.com/spreadsheets/d/1QqKyyYR6Q21VydFLVH3TRQUabQu_ym0Zz7PgGX0-kHA/edit?usp=sharing"",""แผน!FV86"")"),0)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IFERROR(__xludf.DUMMYFUNCTION("IMPORTRANGE(""https://docs.google.com/spreadsheets/d/1QqKyyYR6Q21VydFLVH3TRQUabQu_ym0Zz7PgGX0-kHA/edit?usp=sharing"",""แผน!FY86"")"),180)</f>
        <v>180</v>
      </c>
      <c r="J483" s="1012">
        <v>181.36</v>
      </c>
      <c r="K483" s="881">
        <f ca="1">IF(I483&gt;0,J483*100/I483,0)</f>
        <v>100.75555555555556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21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IFERROR(__xludf.DUMMYFUNCTION("IMPORTRANGE(""https://docs.google.com/spreadsheets/d/1QqKyyYR6Q21VydFLVH3TRQUabQu_ym0Zz7PgGX0-kHA/edit?usp=sharing"",""แผน!FZ86"")"),18)</f>
        <v>18</v>
      </c>
      <c r="J485" s="1012">
        <v>18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IFERROR(__xludf.DUMMYFUNCTION("IMPORTRANGE(""https://docs.google.com/spreadsheets/d/1QqKyyYR6Q21VydFLVH3TRQUabQu_ym0Zz7PgGX0-kHA/edit?usp=sharing"",""แผน!GA86"")"),20)</f>
        <v>20</v>
      </c>
      <c r="J487" s="1012">
        <v>23</v>
      </c>
      <c r="K487" s="881">
        <f ca="1">IF(I487&gt;0,J487*100/I487,0)</f>
        <v>115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2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IFERROR(__xludf.DUMMYFUNCTION("IMPORTRANGE(""https://docs.google.com/spreadsheets/d/1QqKyyYR6Q21VydFLVH3TRQUabQu_ym0Zz7PgGX0-kHA/edit?usp=sharing"",""แผน!GB86"")"),2)</f>
        <v>2</v>
      </c>
      <c r="J489" s="1012">
        <v>2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IFERROR(__xludf.DUMMYFUNCTION("IMPORTRANGE(""https://docs.google.com/spreadsheets/d/1QqKyyYR6Q21VydFLVH3TRQUabQu_ym0Zz7PgGX0-kHA/edit?usp=sharing"",""แผน!GC86"")"),1)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IFERROR(__xludf.DUMMYFUNCTION("IMPORTRANGE(""https://docs.google.com/spreadsheets/d/1QqKyyYR6Q21VydFLVH3TRQUabQu_ym0Zz7PgGX0-kHA/edit?usp=sharing"",""แผน!FY86"")"),180)</f>
        <v>180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IFERROR(__xludf.DUMMYFUNCTION("IMPORTRANGE(""https://docs.google.com/spreadsheets/d/1QqKyyYR6Q21VydFLVH3TRQUabQu_ym0Zz7PgGX0-kHA/edit?usp=sharing"",""แผน!GA86"")"),20)</f>
        <v>20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30</v>
      </c>
      <c r="J522" s="1377">
        <f t="shared" ca="1" si="225"/>
        <v>30</v>
      </c>
      <c r="K522" s="1378">
        <f ca="1">IF(I522&gt;0,J522*100/I522,0)</f>
        <v>100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288960</v>
      </c>
      <c r="M523" s="1020">
        <f t="shared" ca="1" si="226"/>
        <v>288960</v>
      </c>
      <c r="N523" s="1020">
        <f t="shared" si="226"/>
        <v>118680</v>
      </c>
      <c r="O523" s="1020">
        <f t="shared" ref="O523:O528" ca="1" si="227">IF(L523&gt;0,N523*100/L523,0)</f>
        <v>41.071428571428569</v>
      </c>
      <c r="P523" s="1020">
        <f t="shared" ref="P523:P528" ca="1" si="228">IF(M523&gt;0,N523*100/M523,0)</f>
        <v>41.071428571428569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288960</v>
      </c>
      <c r="M525" s="887">
        <f t="shared" ca="1" si="229"/>
        <v>288960</v>
      </c>
      <c r="N525" s="887">
        <f t="shared" si="229"/>
        <v>118680</v>
      </c>
      <c r="O525" s="887">
        <f t="shared" ca="1" si="227"/>
        <v>41.071428571428569</v>
      </c>
      <c r="P525" s="887">
        <f t="shared" ca="1" si="228"/>
        <v>41.071428571428569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288960</v>
      </c>
      <c r="M526" s="881">
        <f t="shared" ca="1" si="230"/>
        <v>288960</v>
      </c>
      <c r="N526" s="881">
        <f t="shared" si="230"/>
        <v>118680</v>
      </c>
      <c r="O526" s="881">
        <f t="shared" ca="1" si="227"/>
        <v>41.071428571428569</v>
      </c>
      <c r="P526" s="881">
        <f t="shared" ca="1" si="228"/>
        <v>41.071428571428569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IFERROR(__xludf.DUMMYFUNCTION("IMPORTRANGE(""https://docs.google.com/spreadsheets/d/1QqKyyYR6Q21VydFLVH3TRQUabQu_ym0Zz7PgGX0-kHA/edit?usp=sharing"",""แผน!GQ86"")"),288960)</f>
        <v>288960</v>
      </c>
      <c r="M528" s="887">
        <f ca="1">L528</f>
        <v>288960</v>
      </c>
      <c r="N528" s="887">
        <f>N529+N530+N531+N532</f>
        <v>118680</v>
      </c>
      <c r="O528" s="887">
        <f t="shared" ca="1" si="227"/>
        <v>41.071428571428569</v>
      </c>
      <c r="P528" s="887">
        <f t="shared" ca="1" si="228"/>
        <v>41.071428571428569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106200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12480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IFERROR(__xludf.DUMMYFUNCTION("IMPORTRANGE(""https://docs.google.com/spreadsheets/d/1QqKyyYR6Q21VydFLVH3TRQUabQu_ym0Zz7PgGX0-kHA/edit?usp=sharing"",""แผน!GT86"")"),0)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IFERROR(__xludf.DUMMYFUNCTION("IMPORTRANGE(""https://docs.google.com/spreadsheets/d/1QqKyyYR6Q21VydFLVH3TRQUabQu_ym0Zz7PgGX0-kHA/edit?usp=sharing"",""แผน!GU86"")"),30)</f>
        <v>30</v>
      </c>
      <c r="J537" s="1019">
        <f ca="1">IF(AND(J538=I538,J539=I539,J540=I540,J541=I541),I537,0)</f>
        <v>30</v>
      </c>
      <c r="K537" s="881">
        <f t="shared" ref="K537:K543" ca="1" si="234">IF(I537&gt;0,J537*100/I537,0)</f>
        <v>100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IFERROR(__xludf.DUMMYFUNCTION("IMPORTRANGE(""https://docs.google.com/spreadsheets/d/1QqKyyYR6Q21VydFLVH3TRQUabQu_ym0Zz7PgGX0-kHA/edit?usp=sharing"",""แผน!GV86"")"),30)</f>
        <v>30</v>
      </c>
      <c r="J538" s="1012">
        <v>30</v>
      </c>
      <c r="K538" s="881">
        <f t="shared" ca="1" si="234"/>
        <v>100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IFERROR(__xludf.DUMMYFUNCTION("IMPORTRANGE(""https://docs.google.com/spreadsheets/d/1QqKyyYR6Q21VydFLVH3TRQUabQu_ym0Zz7PgGX0-kHA/edit?usp=sharing"",""แผน!GW86"")"),30)</f>
        <v>30</v>
      </c>
      <c r="J539" s="1012">
        <v>30</v>
      </c>
      <c r="K539" s="881">
        <f t="shared" ca="1" si="234"/>
        <v>100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IFERROR(__xludf.DUMMYFUNCTION("IMPORTRANGE(""https://docs.google.com/spreadsheets/d/1QqKyyYR6Q21VydFLVH3TRQUabQu_ym0Zz7PgGX0-kHA/edit?usp=sharing"",""แผน!GX86"")"),30)</f>
        <v>30</v>
      </c>
      <c r="J540" s="1012">
        <v>30</v>
      </c>
      <c r="K540" s="881">
        <f t="shared" ca="1" si="234"/>
        <v>100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IFERROR(__xludf.DUMMYFUNCTION("IMPORTRANGE(""https://docs.google.com/spreadsheets/d/1QqKyyYR6Q21VydFLVH3TRQUabQu_ym0Zz7PgGX0-kHA/edit?usp=sharing"",""แผน!GY86"")"),0)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IFERROR(__xludf.DUMMYFUNCTION("IMPORTRANGE(""https://docs.google.com/spreadsheets/d/1QqKyyYR6Q21VydFLVH3TRQUabQu_ym0Zz7PgGX0-kHA/edit?usp=sharing"",""แผน!GZ86"")"),30)</f>
        <v>30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32464</v>
      </c>
      <c r="J543" s="1384">
        <f t="shared" si="235"/>
        <v>0</v>
      </c>
      <c r="K543" s="1385">
        <f t="shared" ca="1" si="234"/>
        <v>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388395</v>
      </c>
      <c r="M544" s="992">
        <f t="shared" ca="1" si="236"/>
        <v>388395</v>
      </c>
      <c r="N544" s="992">
        <f t="shared" si="236"/>
        <v>235802</v>
      </c>
      <c r="O544" s="992">
        <f t="shared" ref="O544:O549" ca="1" si="237">IF(L544&gt;0,N544*100/L544,0)</f>
        <v>60.711904118230152</v>
      </c>
      <c r="P544" s="992">
        <f t="shared" ref="P544:P549" ca="1" si="238">IF(M544&gt;0,N544*100/M544,0)</f>
        <v>60.711904118230152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388395</v>
      </c>
      <c r="M546" s="887">
        <f t="shared" ca="1" si="240"/>
        <v>388395</v>
      </c>
      <c r="N546" s="887">
        <f t="shared" si="240"/>
        <v>235802</v>
      </c>
      <c r="O546" s="887">
        <f t="shared" ca="1" si="237"/>
        <v>60.711904118230152</v>
      </c>
      <c r="P546" s="887">
        <f t="shared" ca="1" si="238"/>
        <v>60.711904118230152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388395</v>
      </c>
      <c r="M547" s="881">
        <f t="shared" ca="1" si="241"/>
        <v>388395</v>
      </c>
      <c r="N547" s="881">
        <f t="shared" si="241"/>
        <v>235802</v>
      </c>
      <c r="O547" s="881">
        <f t="shared" ca="1" si="237"/>
        <v>60.711904118230152</v>
      </c>
      <c r="P547" s="881">
        <f t="shared" ca="1" si="238"/>
        <v>60.711904118230152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IFERROR(__xludf.DUMMYFUNCTION("IMPORTRANGE(""https://docs.google.com/spreadsheets/d/1QqKyyYR6Q21VydFLVH3TRQUabQu_ym0Zz7PgGX0-kHA/edit?usp=sharing"",""แผน!HB86"")"),388395)</f>
        <v>388395</v>
      </c>
      <c r="M549" s="887">
        <f ca="1">L549</f>
        <v>388395</v>
      </c>
      <c r="N549" s="887">
        <f>N550+N551+N552+N553+N554</f>
        <v>235802</v>
      </c>
      <c r="O549" s="887">
        <f t="shared" ca="1" si="237"/>
        <v>60.711904118230152</v>
      </c>
      <c r="P549" s="887">
        <f t="shared" ca="1" si="238"/>
        <v>60.711904118230152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65000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v>135802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35000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IFERROR(__xludf.DUMMYFUNCTION("IMPORTRANGE(""https://docs.google.com/spreadsheets/d/1QqKyyYR6Q21VydFLVH3TRQUabQu_ym0Zz7PgGX0-kHA/edit?usp=sharing"",""แผน!HF86"")"),0)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32464</v>
      </c>
      <c r="J559" s="1377">
        <f t="shared" si="245"/>
        <v>0</v>
      </c>
      <c r="K559" s="1378">
        <f t="shared" ref="K559:K561" ca="1" si="246">IF(I559&gt;0,J559*100/I559,0)</f>
        <v>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IFERROR(__xludf.DUMMYFUNCTION("IMPORTRANGE(""https://docs.google.com/spreadsheets/d/1QqKyyYR6Q21VydFLVH3TRQUabQu_ym0Zz7PgGX0-kHA/edit?usp=sharing"",""แผน!HH86"")"),32464)</f>
        <v>32464</v>
      </c>
      <c r="J560" s="1018">
        <f t="shared" ref="J560:J561" si="247">J562+J564+J566</f>
        <v>32464.06</v>
      </c>
      <c r="K560" s="1162">
        <f t="shared" ca="1" si="246"/>
        <v>100.00018482010843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IFERROR(__xludf.DUMMYFUNCTION("IMPORTRANGE(""https://docs.google.com/spreadsheets/d/1QqKyyYR6Q21VydFLVH3TRQUabQu_ym0Zz7PgGX0-kHA/edit?usp=sharing"",""แผน!HG86"")"),4075)</f>
        <v>4075</v>
      </c>
      <c r="J561" s="1018">
        <f t="shared" si="247"/>
        <v>4075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29538.06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3715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2117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255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809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105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IFERROR(__xludf.DUMMYFUNCTION("IMPORTRANGE(""https://docs.google.com/spreadsheets/d/1QqKyyYR6Q21VydFLVH3TRQUabQu_ym0Zz7PgGX0-kHA/edit?usp=sharing"",""แผน!HH86"")"),32464)</f>
        <v>32464</v>
      </c>
      <c r="J568" s="1019">
        <f t="shared" ref="J568:J569" si="248">J570+J572+J574</f>
        <v>32464</v>
      </c>
      <c r="K568" s="1162">
        <f t="shared" ref="K568:K569" ca="1" si="249">IF(I568&gt;0,J568*100/I568,0)</f>
        <v>100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IFERROR(__xludf.DUMMYFUNCTION("IMPORTRANGE(""https://docs.google.com/spreadsheets/d/1QqKyyYR6Q21VydFLVH3TRQUabQu_ym0Zz7PgGX0-kHA/edit?usp=sharing"",""แผน!HG86"")"),4075)</f>
        <v>4075</v>
      </c>
      <c r="J569" s="1019">
        <f t="shared" si="248"/>
        <v>4075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29664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3730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1977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240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823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105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IFERROR(__xludf.DUMMYFUNCTION("IMPORTRANGE(""https://docs.google.com/spreadsheets/d/1QqKyyYR6Q21VydFLVH3TRQUabQu_ym0Zz7PgGX0-kHA/edit?usp=sharing"",""แผน!HH86"")"),32464)</f>
        <v>32464</v>
      </c>
      <c r="J576" s="1019">
        <f t="shared" ref="J576:J577" si="250">J578+J580+J582+J588+J590</f>
        <v>0</v>
      </c>
      <c r="K576" s="1162">
        <f t="shared" ref="K576:K577" ca="1" si="251">IF(I576&gt;0,J576*100/I576,0)</f>
        <v>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IFERROR(__xludf.DUMMYFUNCTION("IMPORTRANGE(""https://docs.google.com/spreadsheets/d/1QqKyyYR6Q21VydFLVH3TRQUabQu_ym0Zz7PgGX0-kHA/edit?usp=sharing"",""แผน!HG86"")"),4075)</f>
        <v>4075</v>
      </c>
      <c r="J577" s="1019">
        <f t="shared" si="250"/>
        <v>0</v>
      </c>
      <c r="K577" s="1162">
        <f t="shared" ca="1" si="251"/>
        <v>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0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0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0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0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0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0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414.26</v>
      </c>
      <c r="J592" s="1377">
        <f t="shared" si="253"/>
        <v>348</v>
      </c>
      <c r="K592" s="1378">
        <f t="shared" ref="K592:K594" ca="1" si="254">IF(I592&gt;0,J592*100/I592,0)</f>
        <v>84.005214116738287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IFERROR(__xludf.DUMMYFUNCTION("IMPORTRANGE(""https://docs.google.com/spreadsheets/d/1QqKyyYR6Q21VydFLVH3TRQUabQu_ym0Zz7PgGX0-kHA/edit?usp=sharing"",""แผน!HJ86"")"),414.26)</f>
        <v>414.26</v>
      </c>
      <c r="J593" s="1018">
        <f t="shared" ref="J593:J594" si="255">J595+J603+J609</f>
        <v>348</v>
      </c>
      <c r="K593" s="1162">
        <f t="shared" ca="1" si="254"/>
        <v>84.005214116738287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IFERROR(__xludf.DUMMYFUNCTION("IMPORTRANGE(""https://docs.google.com/spreadsheets/d/1QqKyyYR6Q21VydFLVH3TRQUabQu_ym0Zz7PgGX0-kHA/edit?usp=sharing"",""แผน!HI86"")"),47)</f>
        <v>47</v>
      </c>
      <c r="J594" s="1018">
        <f t="shared" si="255"/>
        <v>36</v>
      </c>
      <c r="K594" s="1162">
        <f t="shared" ca="1" si="254"/>
        <v>76.59574468085107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348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36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348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36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IFERROR(__xludf.DUMMYFUNCTION("IMPORTRANGE(""https://docs.google.com/spreadsheets/d/1QqKyyYR6Q21VydFLVH3TRQUabQu_ym0Zz7PgGX0-kHA/edit?usp=sharing"",""แผน!HL86"")"),140)</f>
        <v>140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IFERROR(__xludf.DUMMYFUNCTION("IMPORTRANGE(""https://docs.google.com/spreadsheets/d/1QqKyyYR6Q21VydFLVH3TRQUabQu_ym0Zz7PgGX0-kHA/edit?usp=sharing"",""แผน!HK86"")"),17)</f>
        <v>17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100</v>
      </c>
      <c r="J628" s="1426">
        <f t="shared" ca="1" si="262"/>
        <v>58</v>
      </c>
      <c r="K628" s="1427">
        <f ca="1">IF(I628&gt;0,J628*100/I628,0)</f>
        <v>58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368255</v>
      </c>
      <c r="M629" s="1020">
        <f t="shared" ca="1" si="263"/>
        <v>368255</v>
      </c>
      <c r="N629" s="1020">
        <f t="shared" si="263"/>
        <v>162450</v>
      </c>
      <c r="O629" s="1020">
        <f t="shared" ref="O629:O634" ca="1" si="264">IF(L629&gt;0,N629*100/L629,0)</f>
        <v>44.113453992478036</v>
      </c>
      <c r="P629" s="1020">
        <f t="shared" ref="P629:P634" ca="1" si="265">IF(M629&gt;0,N629*100/M629,0)</f>
        <v>44.113453992478036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368255</v>
      </c>
      <c r="M631" s="887">
        <f t="shared" ca="1" si="266"/>
        <v>368255</v>
      </c>
      <c r="N631" s="887">
        <f t="shared" si="266"/>
        <v>162450</v>
      </c>
      <c r="O631" s="887">
        <f t="shared" ca="1" si="264"/>
        <v>44.113453992478036</v>
      </c>
      <c r="P631" s="887">
        <f t="shared" ca="1" si="265"/>
        <v>44.113453992478036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368255</v>
      </c>
      <c r="M632" s="881">
        <f t="shared" ca="1" si="267"/>
        <v>368255</v>
      </c>
      <c r="N632" s="881">
        <f t="shared" si="267"/>
        <v>162450</v>
      </c>
      <c r="O632" s="881">
        <f t="shared" ca="1" si="264"/>
        <v>44.113453992478036</v>
      </c>
      <c r="P632" s="881">
        <f t="shared" ca="1" si="265"/>
        <v>44.113453992478036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IFERROR(__xludf.DUMMYFUNCTION("IMPORTRANGE(""https://docs.google.com/spreadsheets/d/1QqKyyYR6Q21VydFLVH3TRQUabQu_ym0Zz7PgGX0-kHA/edit?usp=sharing"",""แผน!HN86"")"),368255)</f>
        <v>368255</v>
      </c>
      <c r="M634" s="887">
        <f ca="1">L634</f>
        <v>368255</v>
      </c>
      <c r="N634" s="887">
        <f>N635+N636+N637+N638</f>
        <v>162450</v>
      </c>
      <c r="O634" s="887">
        <f t="shared" ca="1" si="264"/>
        <v>44.113453992478036</v>
      </c>
      <c r="P634" s="887">
        <f t="shared" ca="1" si="265"/>
        <v>44.113453992478036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65000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97450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IFERROR(__xludf.DUMMYFUNCTION("IMPORTRANGE(""https://docs.google.com/spreadsheets/d/1QqKyyYR6Q21VydFLVH3TRQUabQu_ym0Zz7PgGX0-kHA/edit?usp=sharing"",""แผน!HQ86"")"),0)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IFERROR(__xludf.DUMMYFUNCTION("IMPORTRANGE(""https://docs.google.com/spreadsheets/d/1QqKyyYR6Q21VydFLVH3TRQUabQu_ym0Zz7PgGX0-kHA/edit?usp=sharing"",""แผน!HR86"")"),0)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IFERROR(__xludf.DUMMYFUNCTION("IMPORTRANGE(""https://docs.google.com/spreadsheets/d/1QqKyyYR6Q21VydFLVH3TRQUabQu_ym0Zz7PgGX0-kHA/edit?usp=sharing"",""แผน!HR86"")"),0)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IFERROR(__xludf.DUMMYFUNCTION("IMPORTRANGE(""https://docs.google.com/spreadsheets/d/1XWAQStnk-4SwqDmLtmXYiTMKHgktTP8We1SCoS47DrQ/edit?usp=sharing"",""จัดที่ดิน!AS86"")"),0)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IFERROR(__xludf.DUMMYFUNCTION("IMPORTRANGE(""https://docs.google.com/spreadsheets/d/1XWAQStnk-4SwqDmLtmXYiTMKHgktTP8We1SCoS47DrQ/edit?usp=sharing"",""จัดที่ดิน!AT86"")"),0)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IFERROR(__xludf.DUMMYFUNCTION("IMPORTRANGE(""https://docs.google.com/spreadsheets/d/1QqKyyYR6Q21VydFLVH3TRQUabQu_ym0Zz7PgGX0-kHA/edit?usp=sharing"",""แผน!HS86"")"),100)</f>
        <v>100</v>
      </c>
      <c r="J647" s="880">
        <f ca="1">IFERROR(__xludf.DUMMYFUNCTION("IMPORTRANGE(""https://docs.google.com/spreadsheets/d/1XWAQStnk-4SwqDmLtmXYiTMKHgktTP8We1SCoS47DrQ/edit?usp=sharing"",""จัดที่ดิน!AU86"")"),59)</f>
        <v>59</v>
      </c>
      <c r="K647" s="998">
        <f t="shared" ca="1" si="271"/>
        <v>59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IFERROR(__xludf.DUMMYFUNCTION("IMPORTRANGE(""https://docs.google.com/spreadsheets/d/1XWAQStnk-4SwqDmLtmXYiTMKHgktTP8We1SCoS47DrQ/edit?usp=sharing"",""จัดที่ดิน!AV86"")"),15.1)</f>
        <v>15.1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IFERROR(__xludf.DUMMYFUNCTION("IMPORTRANGE(""https://docs.google.com/spreadsheets/d/1QqKyyYR6Q21VydFLVH3TRQUabQu_ym0Zz7PgGX0-kHA/edit?usp=sharing"",""แผน!HS86"")"),100)</f>
        <v>100</v>
      </c>
      <c r="J649" s="880">
        <f ca="1">IFERROR(__xludf.DUMMYFUNCTION("IMPORTRANGE(""https://docs.google.com/spreadsheets/d/1XWAQStnk-4SwqDmLtmXYiTMKHgktTP8We1SCoS47DrQ/edit?usp=sharing"",""จัดที่ดิน!AW86"")"),59)</f>
        <v>59</v>
      </c>
      <c r="K649" s="998">
        <f t="shared" ca="1" si="271"/>
        <v>59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IFERROR(__xludf.DUMMYFUNCTION("IMPORTRANGE(""https://docs.google.com/spreadsheets/d/1XWAQStnk-4SwqDmLtmXYiTMKHgktTP8We1SCoS47DrQ/edit?usp=sharing"",""จัดที่ดิน!AX86"")"),15.1)</f>
        <v>15.1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IFERROR(__xludf.DUMMYFUNCTION("IMPORTRANGE(""https://docs.google.com/spreadsheets/d/1QqKyyYR6Q21VydFLVH3TRQUabQu_ym0Zz7PgGX0-kHA/edit?usp=sharing"",""แผน!HS86"")"),100)</f>
        <v>100</v>
      </c>
      <c r="J651" s="880">
        <f ca="1">IFERROR(__xludf.DUMMYFUNCTION("IMPORTRANGE(""https://docs.google.com/spreadsheets/d/1XWAQStnk-4SwqDmLtmXYiTMKHgktTP8We1SCoS47DrQ/edit?usp=sharing"",""จัดที่ดิน!AY86"")"),58)</f>
        <v>58</v>
      </c>
      <c r="K651" s="998">
        <f t="shared" ca="1" si="271"/>
        <v>58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IFERROR(__xludf.DUMMYFUNCTION("IMPORTRANGE(""https://docs.google.com/spreadsheets/d/1XWAQStnk-4SwqDmLtmXYiTMKHgktTP8We1SCoS47DrQ/edit?usp=sharing"",""จัดที่ดิน!AZ86"")"),14.7425)</f>
        <v>14.7425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50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12600</v>
      </c>
      <c r="M655" s="1020">
        <f t="shared" ca="1" si="273"/>
        <v>12600</v>
      </c>
      <c r="N655" s="1020">
        <f t="shared" si="273"/>
        <v>6100</v>
      </c>
      <c r="O655" s="1020">
        <f t="shared" ref="O655:O660" ca="1" si="274">IF(L655&gt;0,N655*100/L655,0)</f>
        <v>48.412698412698411</v>
      </c>
      <c r="P655" s="1020">
        <f t="shared" ref="P655:P660" ca="1" si="275">IF(M655&gt;0,N655*100/M655,0)</f>
        <v>48.412698412698411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12600</v>
      </c>
      <c r="M657" s="887">
        <f t="shared" ca="1" si="276"/>
        <v>12600</v>
      </c>
      <c r="N657" s="887">
        <f t="shared" si="276"/>
        <v>6100</v>
      </c>
      <c r="O657" s="887">
        <f t="shared" ca="1" si="274"/>
        <v>48.412698412698411</v>
      </c>
      <c r="P657" s="887">
        <f t="shared" ca="1" si="275"/>
        <v>48.412698412698411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12600</v>
      </c>
      <c r="M658" s="881">
        <f t="shared" ca="1" si="277"/>
        <v>12600</v>
      </c>
      <c r="N658" s="881">
        <f t="shared" si="277"/>
        <v>6100</v>
      </c>
      <c r="O658" s="881">
        <f t="shared" ca="1" si="274"/>
        <v>48.412698412698411</v>
      </c>
      <c r="P658" s="881">
        <f t="shared" ca="1" si="275"/>
        <v>48.412698412698411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IFERROR(__xludf.DUMMYFUNCTION("IMPORTRANGE(""https://docs.google.com/spreadsheets/d/1QqKyyYR6Q21VydFLVH3TRQUabQu_ym0Zz7PgGX0-kHA/edit?usp=sharing"",""แผน!HV86"")"),12600)</f>
        <v>12600</v>
      </c>
      <c r="M660" s="887">
        <f ca="1">L660</f>
        <v>12600</v>
      </c>
      <c r="N660" s="887">
        <f>N661+N662+N663+N664</f>
        <v>6100</v>
      </c>
      <c r="O660" s="887">
        <f t="shared" ca="1" si="274"/>
        <v>48.412698412698411</v>
      </c>
      <c r="P660" s="887">
        <f t="shared" ca="1" si="275"/>
        <v>48.412698412698411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6100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IFERROR(__xludf.DUMMYFUNCTION("IMPORTRANGE(""https://docs.google.com/spreadsheets/d/1QqKyyYR6Q21VydFLVH3TRQUabQu_ym0Zz7PgGX0-kHA/edit?usp=sharing"",""แผน!IA86"")"),50)</f>
        <v>50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IFERROR(__xludf.DUMMYFUNCTION("IMPORTRANGE(""https://docs.google.com/spreadsheets/d/1QqKyyYR6Q21VydFLVH3TRQUabQu_ym0Zz7PgGX0-kHA/edit?usp=sharing"",""แผน!HZ86"")"),6)</f>
        <v>6</v>
      </c>
      <c r="J670" s="1012">
        <v>6</v>
      </c>
      <c r="K670" s="881">
        <f ca="1">IF(I670&gt;0,(J670*100)/I670,0)</f>
        <v>100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IFERROR(__xludf.DUMMYFUNCTION("IMPORTRANGE(""https://docs.google.com/spreadsheets/d/1QqKyyYR6Q21VydFLVH3TRQUabQu_ym0Zz7PgGX0-kHA/edit?usp=sharing"",""แผน!HZ86"")"),6)</f>
        <v>6</v>
      </c>
      <c r="J671" s="1012">
        <v>6</v>
      </c>
      <c r="K671" s="881">
        <f ca="1">IF(I$671&gt;0,J671*100/I$671,0)</f>
        <v>100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IFERROR(__xludf.DUMMYFUNCTION("IMPORTRANGE(""https://docs.google.com/spreadsheets/d/1QqKyyYR6Q21VydFLVH3TRQUabQu_ym0Zz7PgGX0-kHA/edit?usp=sharing"",""แผน!IB86"")"),0)</f>
        <v>0</v>
      </c>
      <c r="J678" s="1019">
        <f>J679</f>
        <v>168.76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168.76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527">
        <v>31.56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527">
        <v>137.19999999999999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IFERROR(__xludf.DUMMYFUNCTION("IMPORTRANGE(""https://docs.google.com/spreadsheets/d/1QqKyyYR6Q21VydFLVH3TRQUabQu_ym0Zz7PgGX0-kHA/edit?usp=sharing"",""แผน!HW86"")"),0)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IFERROR(__xludf.DUMMYFUNCTION("IMPORTRANGE(""https://docs.google.com/spreadsheets/d/1QqKyyYR6Q21VydFLVH3TRQUabQu_ym0Zz7PgGX0-kHA/edit?usp=sharing"",""แผน!IC86"")"),0)</f>
        <v>0</v>
      </c>
      <c r="J699" s="880">
        <f ca="1">IFERROR(__xludf.DUMMYFUNCTION("IMPORTRANGE(""https://docs.google.com/spreadsheets/d/1XWAQStnk-4SwqDmLtmXYiTMKHgktTP8We1SCoS47DrQ/edit?usp=sharing"",""จัดที่ดิน!BB86"")"),0)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IFERROR(__xludf.DUMMYFUNCTION("IMPORTRANGE(""https://docs.google.com/spreadsheets/d/1QqKyyYR6Q21VydFLVH3TRQUabQu_ym0Zz7PgGX0-kHA/edit?usp=sharing"",""แผน!ID86"")"),0)</f>
        <v>0</v>
      </c>
      <c r="J700" s="880">
        <f ca="1">IFERROR(__xludf.DUMMYFUNCTION("IMPORTRANGE(""https://docs.google.com/spreadsheets/d/1XWAQStnk-4SwqDmLtmXYiTMKHgktTP8We1SCoS47DrQ/edit?usp=sharing"",""จัดที่ดิน!BD86"")"),0)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IFERROR(__xludf.DUMMYFUNCTION("IMPORTRANGE(""https://docs.google.com/spreadsheets/d/1QqKyyYR6Q21VydFLVH3TRQUabQu_ym0Zz7PgGX0-kHA/edit?usp=sharing"",""แผน!IE86"")"),0)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IFERROR(__xludf.DUMMYFUNCTION("IMPORTRANGE(""https://docs.google.com/spreadsheets/d/1QqKyyYR6Q21VydFLVH3TRQUabQu_ym0Zz7PgGX0-kHA/edit?usp=sharing"",""แผน!IF86"")"),0)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IFERROR(__xludf.DUMMYFUNCTION("IMPORTRANGE(""https://docs.google.com/spreadsheets/d/1QqKyyYR6Q21VydFLVH3TRQUabQu_ym0Zz7PgGX0-kHA/edit?usp=sharing"",""แผน!IG86"")"),0)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IFERROR(__xludf.DUMMYFUNCTION("IMPORTRANGE(""https://docs.google.com/spreadsheets/d/1QqKyyYR6Q21VydFLVH3TRQUabQu_ym0Zz7PgGX0-kHA/edit?usp=sharing"",""แผน!IH86"")"),0)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IFERROR(__xludf.DUMMYFUNCTION("IMPORTRANGE(""https://docs.google.com/spreadsheets/d/1XWAQStnk-4SwqDmLtmXYiTMKHgktTP8We1SCoS47DrQ/edit?usp=sharing"",""จัดที่ดิน!BF86"")"),0)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IFERROR(__xludf.DUMMYFUNCTION("IMPORTRANGE(""https://docs.google.com/spreadsheets/d/1XWAQStnk-4SwqDmLtmXYiTMKHgktTP8We1SCoS47DrQ/edit?usp=sharing"",""จัดที่ดิน!BG86"")"),0)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IFERROR(__xludf.DUMMYFUNCTION("IMPORTRANGE(""https://docs.google.com/spreadsheets/d/1QqKyyYR6Q21VydFLVH3TRQUabQu_ym0Zz7PgGX0-kHA/edit?usp=sharing"",""แผน!II86"")"),0)</f>
        <v>0</v>
      </c>
      <c r="J720" s="880">
        <f ca="1">IFERROR(__xludf.DUMMYFUNCTION("IMPORTRANGE(""https://docs.google.com/spreadsheets/d/1XWAQStnk-4SwqDmLtmXYiTMKHgktTP8We1SCoS47DrQ/edit?usp=sharing"",""จัดที่ดิน!BH86"")"),0)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IFERROR(__xludf.DUMMYFUNCTION("IMPORTRANGE(""https://docs.google.com/spreadsheets/d/1QqKyyYR6Q21VydFLVH3TRQUabQu_ym0Zz7PgGX0-kHA/edit?usp=sharing"",""แผน!IJ86"")"),0)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IFERROR(__xludf.DUMMYFUNCTION("IMPORTRANGE(""https://docs.google.com/spreadsheets/d/1QqKyyYR6Q21VydFLVH3TRQUabQu_ym0Zz7PgGX0-kHA/edit?usp=sharing"",""แผน!IK86"")"),0)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IFERROR(__xludf.DUMMYFUNCTION("IMPORTRANGE(""https://docs.google.com/spreadsheets/d/1QqKyyYR6Q21VydFLVH3TRQUabQu_ym0Zz7PgGX0-kHA/edit?usp=sharing"",""แผน!IL86"")"),0)</f>
        <v>0</v>
      </c>
      <c r="J723" s="880">
        <f ca="1">IFERROR(__xludf.DUMMYFUNCTION("IMPORTRANGE(""https://docs.google.com/spreadsheets/d/1XWAQStnk-4SwqDmLtmXYiTMKHgktTP8We1SCoS47DrQ/edit?usp=sharing"",""จัดที่ดิน!BM86"")"),0)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IFERROR(__xludf.DUMMYFUNCTION("IMPORTRANGE(""https://docs.google.com/spreadsheets/d/1XWAQStnk-4SwqDmLtmXYiTMKHgktTP8We1SCoS47DrQ/edit?usp=sharing"",""จัดที่ดิน!BN86"")"),0)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IFERROR(__xludf.DUMMYFUNCTION("IMPORTRANGE(""https://docs.google.com/spreadsheets/d/1QqKyyYR6Q21VydFLVH3TRQUabQu_ym0Zz7PgGX0-kHA/edit?usp=sharing"",""แผน!IM86"")"),0)</f>
        <v>0</v>
      </c>
      <c r="J725" s="880">
        <f ca="1">IFERROR(__xludf.DUMMYFUNCTION("IMPORTRANGE(""https://docs.google.com/spreadsheets/d/1XWAQStnk-4SwqDmLtmXYiTMKHgktTP8We1SCoS47DrQ/edit?usp=sharing"",""จัดที่ดิน!BO86"")"),0)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IFERROR(__xludf.DUMMYFUNCTION("IMPORTRANGE(""https://docs.google.com/spreadsheets/d/1QqKyyYR6Q21VydFLVH3TRQUabQu_ym0Zz7PgGX0-kHA/edit?usp=sharing"",""แผน!IN86"")"),0)</f>
        <v>0</v>
      </c>
      <c r="J726" s="880">
        <f ca="1">IFERROR(__xludf.DUMMYFUNCTION("IMPORTRANGE(""https://docs.google.com/spreadsheets/d/1XWAQStnk-4SwqDmLtmXYiTMKHgktTP8We1SCoS47DrQ/edit?usp=sharing"",""จัดที่ดิน!BR86"")"),0)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IFERROR(__xludf.DUMMYFUNCTION("IMPORTRANGE(""https://docs.google.com/spreadsheets/d/1XWAQStnk-4SwqDmLtmXYiTMKHgktTP8We1SCoS47DrQ/edit?usp=sharing"",""จัดที่ดิน!BS86"")"),0)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IFERROR(__xludf.DUMMYFUNCTION("IMPORTRANGE(""https://docs.google.com/spreadsheets/d/1QqKyyYR6Q21VydFLVH3TRQUabQu_ym0Zz7PgGX0-kHA/edit?usp=sharing"",""แผน!IO86"")"),0)</f>
        <v>0</v>
      </c>
      <c r="J728" s="880">
        <f ca="1">IFERROR(__xludf.DUMMYFUNCTION("IMPORTRANGE(""https://docs.google.com/spreadsheets/d/1XWAQStnk-4SwqDmLtmXYiTMKHgktTP8We1SCoS47DrQ/edit?usp=sharing"",""จัดที่ดิน!BT86"")"),0)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IFERROR(__xludf.DUMMYFUNCTION("IMPORTRANGE(""https://docs.google.com/spreadsheets/d/1QqKyyYR6Q21VydFLVH3TRQUabQu_ym0Zz7PgGX0-kHA/edit?usp=sharing"",""แผน!IP86"")"),0)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IFERROR(__xludf.DUMMYFUNCTION("IMPORTRANGE(""https://docs.google.com/spreadsheets/d/1QqKyyYR6Q21VydFLVH3TRQUabQu_ym0Zz7PgGX0-kHA/edit?usp=sharing"",""แผน!JJ86"")"),0)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IFERROR(__xludf.DUMMYFUNCTION("IMPORTRANGE(""https://docs.google.com/spreadsheets/d/1QqKyyYR6Q21VydFLVH3TRQUabQu_ym0Zz7PgGX0-kHA/edit?usp=sharing"",""แผน!JN86"")"),0)</f>
        <v>0</v>
      </c>
      <c r="J800" s="997">
        <f ca="1">IFERROR(__xludf.DUMMYFUNCTION("IMPORTRANGE(""https://docs.google.com/spreadsheets/d/1MaWodYyGHDf7siQLGxnXhG4mBNTNIuy296niS2xXulU/edit?usp=sharing"",""RTK!H86"")"),0)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IFERROR(__xludf.DUMMYFUNCTION("IMPORTRANGE(""https://docs.google.com/spreadsheets/d/1MaWodYyGHDf7siQLGxnXhG4mBNTNIuy296niS2xXulU/edit?usp=sharing"",""RTK!I86"")"),0)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>
        <v>0</v>
      </c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>
        <v>0</v>
      </c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347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IFERROR(__xludf.DUMMYFUNCTION("IMPORTRANGE(""https://docs.google.com/spreadsheets/d/19vJNZY_5yjcGF2XGBMNZRCAIB0Kwfpjp8YEOfu-bneM/edit?usp=sharing"",""งานกองทุน!D86"")"),3876270.43)</f>
        <v>3876270.43</v>
      </c>
      <c r="J821" s="880">
        <f ca="1">IFERROR(__xludf.DUMMYFUNCTION("IMPORTRANGE(""https://docs.google.com/spreadsheets/d/19vJNZY_5yjcGF2XGBMNZRCAIB0Kwfpjp8YEOfu-bneM/edit?usp=sharing"",""งานกองทุน!F86"")"),1765566.42)</f>
        <v>1765566.42</v>
      </c>
      <c r="K821" s="881">
        <f t="shared" ref="K821:K828" ca="1" si="335">IF(I821&gt;0,J821*100/I821,0)</f>
        <v>45.548071319678279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IFERROR(__xludf.DUMMYFUNCTION("IMPORTRANGE(""https://docs.google.com/spreadsheets/d/19vJNZY_5yjcGF2XGBMNZRCAIB0Kwfpjp8YEOfu-bneM/edit?usp=sharing"",""งานกองทุน!C86"")"),277)</f>
        <v>277</v>
      </c>
      <c r="J822" s="880">
        <f ca="1">IFERROR(__xludf.DUMMYFUNCTION("IMPORTRANGE(""https://docs.google.com/spreadsheets/d/19vJNZY_5yjcGF2XGBMNZRCAIB0Kwfpjp8YEOfu-bneM/edit?usp=sharing"",""งานกองทุน!E86"")"),148)</f>
        <v>148</v>
      </c>
      <c r="K822" s="881">
        <f t="shared" ca="1" si="335"/>
        <v>53.429602888086642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IFERROR(__xludf.DUMMYFUNCTION("IMPORTRANGE(""https://docs.google.com/spreadsheets/d/19vJNZY_5yjcGF2XGBMNZRCAIB0Kwfpjp8YEOfu-bneM/edit?usp=sharing"",""งานกองทุน!I86"")"),1687353.19)</f>
        <v>1687353.19</v>
      </c>
      <c r="J823" s="880">
        <f ca="1">IFERROR(__xludf.DUMMYFUNCTION("IMPORTRANGE(""https://docs.google.com/spreadsheets/d/19vJNZY_5yjcGF2XGBMNZRCAIB0Kwfpjp8YEOfu-bneM/edit?usp=sharing"",""งานกองทุน!K86"")"),194038.28)</f>
        <v>194038.28</v>
      </c>
      <c r="K823" s="881">
        <f t="shared" ca="1" si="335"/>
        <v>11.49956518587552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IFERROR(__xludf.DUMMYFUNCTION("IMPORTRANGE(""https://docs.google.com/spreadsheets/d/19vJNZY_5yjcGF2XGBMNZRCAIB0Kwfpjp8YEOfu-bneM/edit?usp=sharing"",""งานกองทุน!H86"")"),68)</f>
        <v>68</v>
      </c>
      <c r="J824" s="880">
        <f ca="1">IFERROR(__xludf.DUMMYFUNCTION("IMPORTRANGE(""https://docs.google.com/spreadsheets/d/19vJNZY_5yjcGF2XGBMNZRCAIB0Kwfpjp8YEOfu-bneM/edit?usp=sharing"",""งานกองทุน!J86"")"),49)</f>
        <v>49</v>
      </c>
      <c r="K824" s="881">
        <f t="shared" ca="1" si="335"/>
        <v>72.058823529411768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IFERROR(__xludf.DUMMYFUNCTION("IMPORTRANGE(""https://docs.google.com/spreadsheets/d/19vJNZY_5yjcGF2XGBMNZRCAIB0Kwfpjp8YEOfu-bneM/edit?usp=sharing"",""งานกองทุน!N86"")"),0)</f>
        <v>0</v>
      </c>
      <c r="J825" s="880">
        <f ca="1">IFERROR(__xludf.DUMMYFUNCTION("IMPORTRANGE(""https://docs.google.com/spreadsheets/d/19vJNZY_5yjcGF2XGBMNZRCAIB0Kwfpjp8YEOfu-bneM/edit?usp=sharing"",""งานกองทุน!P86"")"),0)</f>
        <v>0</v>
      </c>
      <c r="K825" s="881">
        <f t="shared" ca="1" si="335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IFERROR(__xludf.DUMMYFUNCTION("IMPORTRANGE(""https://docs.google.com/spreadsheets/d/19vJNZY_5yjcGF2XGBMNZRCAIB0Kwfpjp8YEOfu-bneM/edit?usp=sharing"",""งานกองทุน!M86"")"),0)</f>
        <v>0</v>
      </c>
      <c r="J826" s="880">
        <f ca="1">IFERROR(__xludf.DUMMYFUNCTION("IMPORTRANGE(""https://docs.google.com/spreadsheets/d/19vJNZY_5yjcGF2XGBMNZRCAIB0Kwfpjp8YEOfu-bneM/edit?usp=sharing"",""งานกองทุน!O86"")"),0)</f>
        <v>0</v>
      </c>
      <c r="K826" s="881">
        <f t="shared" ca="1" si="335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IFERROR(__xludf.DUMMYFUNCTION("IMPORTRANGE(""https://docs.google.com/spreadsheets/d/19vJNZY_5yjcGF2XGBMNZRCAIB0Kwfpjp8YEOfu-bneM/edit?usp=sharing"",""งานกองทุน!S86"")"),1680000)</f>
        <v>1680000</v>
      </c>
      <c r="J827" s="880">
        <f ca="1">IFERROR(__xludf.DUMMYFUNCTION("IMPORTRANGE(""https://docs.google.com/spreadsheets/d/19vJNZY_5yjcGF2XGBMNZRCAIB0Kwfpjp8YEOfu-bneM/edit?usp=sharing"",""งานกองทุน!U86"")"),1540000)</f>
        <v>1540000</v>
      </c>
      <c r="K827" s="881">
        <f t="shared" ca="1" si="335"/>
        <v>91.666666666666671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IFERROR(__xludf.DUMMYFUNCTION("IMPORTRANGE(""https://docs.google.com/spreadsheets/d/19vJNZY_5yjcGF2XGBMNZRCAIB0Kwfpjp8YEOfu-bneM/edit?usp=sharing"",""งานกองทุน!R86"")"),67)</f>
        <v>67</v>
      </c>
      <c r="J828" s="1138">
        <f ca="1">IFERROR(__xludf.DUMMYFUNCTION("IMPORTRANGE(""https://docs.google.com/spreadsheets/d/19vJNZY_5yjcGF2XGBMNZRCAIB0Kwfpjp8YEOfu-bneM/edit?usp=sharing"",""งานกองทุน!T86"")"),32)</f>
        <v>32</v>
      </c>
      <c r="K828" s="1239">
        <f t="shared" ca="1" si="335"/>
        <v>47.761194029850749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FD1FC-0B8F-4682-87F0-B03BD3659951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354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2316276</v>
      </c>
      <c r="M8" s="867">
        <f t="shared" ca="1" si="0"/>
        <v>1982244</v>
      </c>
      <c r="N8" s="867">
        <f t="shared" ca="1" si="0"/>
        <v>1255113.8599999999</v>
      </c>
      <c r="O8" s="867">
        <f t="shared" ref="O8:O16" ca="1" si="1">IF(L8&gt;0,N8*100/L8,0)</f>
        <v>54.186714363918625</v>
      </c>
      <c r="P8" s="867">
        <f t="shared" ref="P8:P16" ca="1" si="2">IF(M8&gt;0,N8*100/M8,0)</f>
        <v>63.317828683048091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2316276</v>
      </c>
      <c r="M10" s="874">
        <f t="shared" ca="1" si="3"/>
        <v>1982244</v>
      </c>
      <c r="N10" s="874">
        <f t="shared" ca="1" si="3"/>
        <v>1255113.8599999999</v>
      </c>
      <c r="O10" s="874">
        <f t="shared" ca="1" si="1"/>
        <v>54.186714363918625</v>
      </c>
      <c r="P10" s="874">
        <f t="shared" ca="1" si="2"/>
        <v>63.317828683048091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2240276</v>
      </c>
      <c r="M11" s="881">
        <f t="shared" ca="1" si="4"/>
        <v>1906244</v>
      </c>
      <c r="N11" s="881">
        <f t="shared" ca="1" si="4"/>
        <v>1179113.8599999999</v>
      </c>
      <c r="O11" s="881">
        <f t="shared" ca="1" si="1"/>
        <v>52.632526527981369</v>
      </c>
      <c r="P11" s="881">
        <f t="shared" ca="1" si="2"/>
        <v>61.855348003718298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2240276</v>
      </c>
      <c r="M13" s="887">
        <f t="shared" ca="1" si="5"/>
        <v>1906244</v>
      </c>
      <c r="N13" s="887">
        <f t="shared" ca="1" si="5"/>
        <v>1179113.8599999999</v>
      </c>
      <c r="O13" s="887">
        <f t="shared" ca="1" si="1"/>
        <v>52.632526527981369</v>
      </c>
      <c r="P13" s="887">
        <f t="shared" ca="1" si="2"/>
        <v>61.855348003718298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76000</v>
      </c>
      <c r="M14" s="881">
        <f t="shared" ca="1" si="6"/>
        <v>76000</v>
      </c>
      <c r="N14" s="881">
        <f t="shared" ca="1" si="6"/>
        <v>76000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76000</v>
      </c>
      <c r="M16" s="893">
        <f t="shared" ca="1" si="7"/>
        <v>76000</v>
      </c>
      <c r="N16" s="893">
        <f t="shared" ca="1" si="7"/>
        <v>76000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1869190</v>
      </c>
      <c r="M18" s="867">
        <f t="shared" ca="1" si="8"/>
        <v>1535158</v>
      </c>
      <c r="N18" s="867">
        <f t="shared" ca="1" si="8"/>
        <v>1034189.86</v>
      </c>
      <c r="O18" s="867">
        <f t="shared" ref="O18:O26" ca="1" si="9">IF(L18&gt;0,N18*100/L18,0)</f>
        <v>55.32823629486569</v>
      </c>
      <c r="P18" s="867">
        <f t="shared" ref="P18:P26" ca="1" si="10">IF(M18&gt;0,N18*100/M18,0)</f>
        <v>67.366998054923343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1869190</v>
      </c>
      <c r="M20" s="874">
        <f t="shared" ca="1" si="11"/>
        <v>1535158</v>
      </c>
      <c r="N20" s="874">
        <f t="shared" ca="1" si="11"/>
        <v>1034189.86</v>
      </c>
      <c r="O20" s="874">
        <f t="shared" ca="1" si="9"/>
        <v>55.32823629486569</v>
      </c>
      <c r="P20" s="874">
        <f t="shared" ca="1" si="10"/>
        <v>67.366998054923343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1793190</v>
      </c>
      <c r="M21" s="881">
        <f t="shared" ca="1" si="12"/>
        <v>1459158</v>
      </c>
      <c r="N21" s="881">
        <f t="shared" ca="1" si="12"/>
        <v>958189.86</v>
      </c>
      <c r="O21" s="881">
        <f t="shared" ca="1" si="9"/>
        <v>53.434932160005353</v>
      </c>
      <c r="P21" s="881">
        <f t="shared" ca="1" si="10"/>
        <v>65.667313615112278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1793190</v>
      </c>
      <c r="M23" s="887">
        <f t="shared" ca="1" si="13"/>
        <v>1459158</v>
      </c>
      <c r="N23" s="887">
        <f t="shared" ca="1" si="13"/>
        <v>958189.86</v>
      </c>
      <c r="O23" s="887">
        <f t="shared" ca="1" si="9"/>
        <v>53.434932160005353</v>
      </c>
      <c r="P23" s="887">
        <f t="shared" ca="1" si="10"/>
        <v>65.667313615112278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76000</v>
      </c>
      <c r="M24" s="881">
        <f t="shared" ca="1" si="14"/>
        <v>76000</v>
      </c>
      <c r="N24" s="881">
        <f t="shared" ca="1" si="14"/>
        <v>76000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76000</v>
      </c>
      <c r="M26" s="893">
        <f t="shared" ca="1" si="15"/>
        <v>76000</v>
      </c>
      <c r="N26" s="893">
        <f t="shared" ca="1" si="15"/>
        <v>76000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447086</v>
      </c>
      <c r="M28" s="867">
        <f t="shared" ca="1" si="16"/>
        <v>447086</v>
      </c>
      <c r="N28" s="867">
        <f t="shared" si="16"/>
        <v>220924</v>
      </c>
      <c r="O28" s="867">
        <f t="shared" ref="O28:O37" ca="1" si="17">IF(L28&gt;0,N28*100/L28,0)</f>
        <v>49.414206662700238</v>
      </c>
      <c r="P28" s="867">
        <f t="shared" ref="P28:P37" ca="1" si="18">IF(M28&gt;0,N28*100/M28,0)</f>
        <v>49.414206662700238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447086</v>
      </c>
      <c r="M30" s="874">
        <f t="shared" ca="1" si="19"/>
        <v>447086</v>
      </c>
      <c r="N30" s="874">
        <f t="shared" si="19"/>
        <v>220924</v>
      </c>
      <c r="O30" s="874">
        <f t="shared" ca="1" si="17"/>
        <v>49.414206662700238</v>
      </c>
      <c r="P30" s="874">
        <f t="shared" ca="1" si="18"/>
        <v>49.414206662700238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447086</v>
      </c>
      <c r="M31" s="881">
        <f t="shared" ca="1" si="20"/>
        <v>447086</v>
      </c>
      <c r="N31" s="881">
        <f t="shared" si="20"/>
        <v>220924</v>
      </c>
      <c r="O31" s="881">
        <f t="shared" ca="1" si="17"/>
        <v>49.414206662700238</v>
      </c>
      <c r="P31" s="881">
        <f t="shared" ca="1" si="18"/>
        <v>49.414206662700238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447086</v>
      </c>
      <c r="M33" s="887">
        <f t="shared" ca="1" si="21"/>
        <v>447086</v>
      </c>
      <c r="N33" s="887">
        <f t="shared" si="21"/>
        <v>220924</v>
      </c>
      <c r="O33" s="887">
        <f t="shared" ca="1" si="17"/>
        <v>49.414206662700238</v>
      </c>
      <c r="P33" s="887">
        <f t="shared" ca="1" si="18"/>
        <v>49.414206662700238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1869190</v>
      </c>
      <c r="M37" s="900">
        <f t="shared" ca="1" si="24"/>
        <v>1535158</v>
      </c>
      <c r="N37" s="900">
        <f t="shared" ca="1" si="24"/>
        <v>1034189.86</v>
      </c>
      <c r="O37" s="900">
        <f t="shared" ca="1" si="17"/>
        <v>55.32823629486569</v>
      </c>
      <c r="P37" s="900">
        <f t="shared" ca="1" si="18"/>
        <v>67.366998054923343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334650</v>
      </c>
      <c r="M41" s="926">
        <f t="shared" ca="1" si="25"/>
        <v>339380</v>
      </c>
      <c r="N41" s="926">
        <f t="shared" ca="1" si="25"/>
        <v>223420</v>
      </c>
      <c r="O41" s="926">
        <f t="shared" ref="O41:O49" ca="1" si="26">IF(L41&gt;0,N41*100/L41,0)</f>
        <v>66.762288958613482</v>
      </c>
      <c r="P41" s="926">
        <f t="shared" ref="P41:P49" ca="1" si="27">IF(M41&gt;0,N41*100/M41,0)</f>
        <v>65.83181094937828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334650</v>
      </c>
      <c r="M43" s="932">
        <f t="shared" ca="1" si="28"/>
        <v>339380</v>
      </c>
      <c r="N43" s="932">
        <f t="shared" ca="1" si="28"/>
        <v>223420</v>
      </c>
      <c r="O43" s="932">
        <f t="shared" ca="1" si="26"/>
        <v>66.762288958613482</v>
      </c>
      <c r="P43" s="932">
        <f t="shared" ca="1" si="27"/>
        <v>65.83181094937828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334650</v>
      </c>
      <c r="M44" s="881">
        <f t="shared" ca="1" si="29"/>
        <v>339380</v>
      </c>
      <c r="N44" s="881">
        <f t="shared" ca="1" si="29"/>
        <v>223420</v>
      </c>
      <c r="O44" s="881">
        <f t="shared" ca="1" si="26"/>
        <v>66.762288958613482</v>
      </c>
      <c r="P44" s="881">
        <f t="shared" ca="1" si="27"/>
        <v>65.83181094937828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IFERROR(__xludf.DUMMYFUNCTION("IMPORTRANGE(""https://docs.google.com/spreadsheets/d/1MeEWN-I1oV_STSDYn1IFDPWt_1FKiwhDph83XaGc0o0/edit?usp=sharing"",""งบพรบ!M87"")"),334650)</f>
        <v>334650</v>
      </c>
      <c r="M46" s="887">
        <f ca="1">IFERROR(__xludf.DUMMYFUNCTION("IMPORTRANGE(""https://docs.google.com/spreadsheets/d/1MeEWN-I1oV_STSDYn1IFDPWt_1FKiwhDph83XaGc0o0/edit?usp=sharing"",""งบพรบ!R87"")"),339380)</f>
        <v>339380</v>
      </c>
      <c r="N46" s="887">
        <f ca="1">IFERROR(__xludf.DUMMYFUNCTION("IMPORTRANGE(""https://docs.google.com/spreadsheets/d/1MeEWN-I1oV_STSDYn1IFDPWt_1FKiwhDph83XaGc0o0/edit?usp=sharing"",""งบพรบ!T87"")"),223420)</f>
        <v>223420</v>
      </c>
      <c r="O46" s="887">
        <f t="shared" ca="1" si="26"/>
        <v>66.762288958613482</v>
      </c>
      <c r="P46" s="887">
        <f t="shared" ca="1" si="27"/>
        <v>65.83181094937828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IFERROR(__xludf.DUMMYFUNCTION("IMPORTRANGE(""https://docs.google.com/spreadsheets/d/1MeEWN-I1oV_STSDYn1IFDPWt_1FKiwhDph83XaGc0o0/edit?usp=sharing"",""งบพรบ!P87"")"),0)</f>
        <v>0</v>
      </c>
      <c r="M49" s="893">
        <f ca="1">IFERROR(__xludf.DUMMYFUNCTION("IMPORTRANGE(""https://docs.google.com/spreadsheets/d/1MeEWN-I1oV_STSDYn1IFDPWt_1FKiwhDph83XaGc0o0/edit?usp=sharing"",""งบพรบ!S87"")"),0)</f>
        <v>0</v>
      </c>
      <c r="N49" s="893">
        <f ca="1">IFERROR(__xludf.DUMMYFUNCTION("IMPORTRANGE(""https://docs.google.com/spreadsheets/d/1MeEWN-I1oV_STSDYn1IFDPWt_1FKiwhDph83XaGc0o0/edit?usp=sharing"",""งบพรบ!U87"")"),0)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310500</v>
      </c>
      <c r="M53" s="956">
        <f t="shared" ca="1" si="31"/>
        <v>232875</v>
      </c>
      <c r="N53" s="956">
        <f t="shared" ca="1" si="31"/>
        <v>172045.35</v>
      </c>
      <c r="O53" s="956">
        <f t="shared" ref="O53:O61" ca="1" si="32">IF(L53&gt;0,N53*100/L53,0)</f>
        <v>55.409130434782611</v>
      </c>
      <c r="P53" s="956">
        <f t="shared" ref="P53:P61" ca="1" si="33">IF(M53&gt;0,N53*100/M53,0)</f>
        <v>73.878840579710143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310500</v>
      </c>
      <c r="M55" s="962">
        <f t="shared" ca="1" si="34"/>
        <v>232875</v>
      </c>
      <c r="N55" s="962">
        <f t="shared" ca="1" si="34"/>
        <v>172045.35</v>
      </c>
      <c r="O55" s="962">
        <f t="shared" ca="1" si="32"/>
        <v>55.409130434782611</v>
      </c>
      <c r="P55" s="962">
        <f t="shared" ca="1" si="33"/>
        <v>73.878840579710143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310500</v>
      </c>
      <c r="M56" s="881">
        <f t="shared" ca="1" si="35"/>
        <v>232875</v>
      </c>
      <c r="N56" s="881">
        <f t="shared" ca="1" si="35"/>
        <v>172045.35</v>
      </c>
      <c r="O56" s="881">
        <f t="shared" ca="1" si="32"/>
        <v>55.409130434782611</v>
      </c>
      <c r="P56" s="881">
        <f t="shared" ca="1" si="33"/>
        <v>73.878840579710143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IFERROR(__xludf.DUMMYFUNCTION("IMPORTRANGE(""https://docs.google.com/spreadsheets/d/1MeEWN-I1oV_STSDYn1IFDPWt_1FKiwhDph83XaGc0o0/edit?usp=sharing"",""งบพรบ!W87"")"),310500)</f>
        <v>310500</v>
      </c>
      <c r="M58" s="887">
        <f ca="1">IFERROR(__xludf.DUMMYFUNCTION("IMPORTRANGE(""https://docs.google.com/spreadsheets/d/1MeEWN-I1oV_STSDYn1IFDPWt_1FKiwhDph83XaGc0o0/edit?usp=sharing"",""งบพรบ!AB87"")"),232875)</f>
        <v>232875</v>
      </c>
      <c r="N58" s="887">
        <f ca="1">IFERROR(__xludf.DUMMYFUNCTION("IMPORTRANGE(""https://docs.google.com/spreadsheets/d/1MeEWN-I1oV_STSDYn1IFDPWt_1FKiwhDph83XaGc0o0/edit?usp=sharing"",""งบพรบ!AD87"")"),172045.35)</f>
        <v>172045.35</v>
      </c>
      <c r="O58" s="887">
        <f t="shared" ca="1" si="32"/>
        <v>55.409130434782611</v>
      </c>
      <c r="P58" s="887">
        <f t="shared" ca="1" si="33"/>
        <v>73.878840579710143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0</v>
      </c>
      <c r="M59" s="881">
        <f t="shared" ca="1" si="36"/>
        <v>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IFERROR(__xludf.DUMMYFUNCTION("IMPORTRANGE(""https://docs.google.com/spreadsheets/d/1MeEWN-I1oV_STSDYn1IFDPWt_1FKiwhDph83XaGc0o0/edit?usp=sharing"",""งบพรบ!Z87"")"),0)</f>
        <v>0</v>
      </c>
      <c r="M61" s="893">
        <f ca="1">IFERROR(__xludf.DUMMYFUNCTION("IMPORTRANGE(""https://docs.google.com/spreadsheets/d/1MeEWN-I1oV_STSDYn1IFDPWt_1FKiwhDph83XaGc0o0/edit?usp=sharing"",""งบพรบ!AC87"")"),0)</f>
        <v>0</v>
      </c>
      <c r="N61" s="893">
        <f ca="1">IFERROR(__xludf.DUMMYFUNCTION("IMPORTRANGE(""https://docs.google.com/spreadsheets/d/1MeEWN-I1oV_STSDYn1IFDPWt_1FKiwhDph83XaGc0o0/edit?usp=sharing"",""งบพรบ!AE87"")"),0)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IFERROR(__xludf.DUMMYFUNCTION("IMPORTRANGE(""https://docs.google.com/spreadsheets/d/1MeEWN-I1oV_STSDYn1IFDPWt_1FKiwhDph83XaGc0o0/edit?usp=sharing"",""งบพรบ!AG87"")"),0)</f>
        <v>0</v>
      </c>
      <c r="M71" s="887">
        <f ca="1">IFERROR(__xludf.DUMMYFUNCTION("IMPORTRANGE(""https://docs.google.com/spreadsheets/d/1MeEWN-I1oV_STSDYn1IFDPWt_1FKiwhDph83XaGc0o0/edit?usp=sharing"",""งบพรบ!AL87"")"),0)</f>
        <v>0</v>
      </c>
      <c r="N71" s="887">
        <f ca="1">IFERROR(__xludf.DUMMYFUNCTION("IMPORTRANGE(""https://docs.google.com/spreadsheets/d/1MeEWN-I1oV_STSDYn1IFDPWt_1FKiwhDph83XaGc0o0/edit?usp=sharing"",""งบพรบ!AN87"")"),0)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IFERROR(__xludf.DUMMYFUNCTION("IMPORTRANGE(""https://docs.google.com/spreadsheets/d/1MeEWN-I1oV_STSDYn1IFDPWt_1FKiwhDph83XaGc0o0/edit?usp=sharing"",""งบพรบ!AJ87"")"),0)</f>
        <v>0</v>
      </c>
      <c r="M74" s="887">
        <f ca="1">IFERROR(__xludf.DUMMYFUNCTION("IMPORTRANGE(""https://docs.google.com/spreadsheets/d/1MeEWN-I1oV_STSDYn1IFDPWt_1FKiwhDph83XaGc0o0/edit?usp=sharing"",""งบพรบ!AM87"")"),0)</f>
        <v>0</v>
      </c>
      <c r="N74" s="887">
        <f ca="1">IFERROR(__xludf.DUMMYFUNCTION("IMPORTRANGE(""https://docs.google.com/spreadsheets/d/1MeEWN-I1oV_STSDYn1IFDPWt_1FKiwhDph83XaGc0o0/edit?usp=sharing"",""งบพรบ!AO87"")"),0)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IFERROR(__xludf.DUMMYFUNCTION("IMPORTRANGE(""https://docs.google.com/spreadsheets/d/1QqKyyYR6Q21VydFLVH3TRQUabQu_ym0Zz7PgGX0-kHA/edit?usp=sharing"",""แผน!H87"")"),0)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IFERROR(__xludf.DUMMYFUNCTION("IMPORTRANGE(""https://docs.google.com/spreadsheets/d/1QqKyyYR6Q21VydFLVH3TRQUabQu_ym0Zz7PgGX0-kHA/edit?usp=sharing"",""แผน!I87"")"),0)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IFERROR(__xludf.DUMMYFUNCTION("IMPORTRANGE(""https://docs.google.com/spreadsheets/d/1QqKyyYR6Q21VydFLVH3TRQUabQu_ym0Zz7PgGX0-kHA/edit?usp=sharing"",""แผน!F87"")"),0)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IFERROR(__xludf.DUMMYFUNCTION("IMPORTRANGE(""https://docs.google.com/spreadsheets/d/1QqKyyYR6Q21VydFLVH3TRQUabQu_ym0Zz7PgGX0-kHA/edit?usp=sharing"",""แผน!G87"")"),0)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IFERROR(__xludf.DUMMYFUNCTION("IMPORTRANGE(""https://docs.google.com/spreadsheets/d/1QqKyyYR6Q21VydFLVH3TRQUabQu_ym0Zz7PgGX0-kHA/edit?usp=sharing"",""แผน!D87"")"),0)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IFERROR(__xludf.DUMMYFUNCTION("IMPORTRANGE(""https://docs.google.com/spreadsheets/d/1QqKyyYR6Q21VydFLVH3TRQUabQu_ym0Zz7PgGX0-kHA/edit?usp=sharing"",""แผน!E87"")"),0)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IFERROR(__xludf.DUMMYFUNCTION("IMPORTRANGE(""https://docs.google.com/spreadsheets/d/1QqKyyYR6Q21VydFLVH3TRQUabQu_ym0Zz7PgGX0-kHA/edit?usp=sharing"",""แผน!J87"")"),0)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0</v>
      </c>
      <c r="J86" s="982">
        <f t="shared" si="47"/>
        <v>0</v>
      </c>
      <c r="K86" s="983">
        <f t="shared" ref="K86:K87" ca="1" si="48">IF(I86&gt;0,J86*100/I86,0)</f>
        <v>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0</v>
      </c>
      <c r="J87" s="982">
        <f t="shared" si="47"/>
        <v>0</v>
      </c>
      <c r="K87" s="983">
        <f t="shared" ca="1" si="48"/>
        <v>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462300</v>
      </c>
      <c r="M88" s="992">
        <f t="shared" ca="1" si="49"/>
        <v>349400</v>
      </c>
      <c r="N88" s="992">
        <f t="shared" ca="1" si="49"/>
        <v>206715.15</v>
      </c>
      <c r="O88" s="992">
        <f t="shared" ref="O88:O96" ca="1" si="50">IF(L88&gt;0,N88*100/L88,0)</f>
        <v>44.714503569110967</v>
      </c>
      <c r="P88" s="992">
        <f t="shared" ref="P88:P96" ca="1" si="51">IF(M88&gt;0,N88*100/M88,0)</f>
        <v>59.162893531768745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462300</v>
      </c>
      <c r="M90" s="887">
        <f t="shared" ca="1" si="52"/>
        <v>349400</v>
      </c>
      <c r="N90" s="887">
        <f t="shared" ca="1" si="52"/>
        <v>206715.15</v>
      </c>
      <c r="O90" s="887">
        <f t="shared" ca="1" si="50"/>
        <v>44.714503569110967</v>
      </c>
      <c r="P90" s="887">
        <f t="shared" ca="1" si="51"/>
        <v>59.162893531768745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462300</v>
      </c>
      <c r="M91" s="881">
        <f t="shared" ca="1" si="53"/>
        <v>349400</v>
      </c>
      <c r="N91" s="881">
        <f t="shared" ca="1" si="53"/>
        <v>206715.15</v>
      </c>
      <c r="O91" s="881">
        <f t="shared" ca="1" si="50"/>
        <v>44.714503569110967</v>
      </c>
      <c r="P91" s="881">
        <f t="shared" ca="1" si="51"/>
        <v>59.162893531768745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IFERROR(__xludf.DUMMYFUNCTION("IMPORTRANGE(""https://docs.google.com/spreadsheets/d/1MeEWN-I1oV_STSDYn1IFDPWt_1FKiwhDph83XaGc0o0/edit?usp=sharing"",""งบพรบ!AQ87"")"),462300)</f>
        <v>462300</v>
      </c>
      <c r="M93" s="887">
        <f ca="1">IFERROR(__xludf.DUMMYFUNCTION("IMPORTRANGE(""https://docs.google.com/spreadsheets/d/1MeEWN-I1oV_STSDYn1IFDPWt_1FKiwhDph83XaGc0o0/edit?usp=sharing"",""งบพรบ!AV87"")"),349400)</f>
        <v>349400</v>
      </c>
      <c r="N93" s="887">
        <f ca="1">IFERROR(__xludf.DUMMYFUNCTION("IMPORTRANGE(""https://docs.google.com/spreadsheets/d/1MeEWN-I1oV_STSDYn1IFDPWt_1FKiwhDph83XaGc0o0/edit?usp=sharing"",""งบพรบ!AX87"")"),206715.15)</f>
        <v>206715.15</v>
      </c>
      <c r="O93" s="887">
        <f t="shared" ca="1" si="50"/>
        <v>44.714503569110967</v>
      </c>
      <c r="P93" s="887">
        <f t="shared" ca="1" si="51"/>
        <v>59.162893531768745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IFERROR(__xludf.DUMMYFUNCTION("IMPORTRANGE(""https://docs.google.com/spreadsheets/d/1MeEWN-I1oV_STSDYn1IFDPWt_1FKiwhDph83XaGc0o0/edit?usp=sharing"",""งบพรบ!AT87"")"),0)</f>
        <v>0</v>
      </c>
      <c r="M96" s="887">
        <f ca="1">IFERROR(__xludf.DUMMYFUNCTION("IMPORTRANGE(""https://docs.google.com/spreadsheets/d/1MeEWN-I1oV_STSDYn1IFDPWt_1FKiwhDph83XaGc0o0/edit?usp=sharing"",""งบพรบ!AW87"")"),0)</f>
        <v>0</v>
      </c>
      <c r="N96" s="887">
        <f ca="1">IFERROR(__xludf.DUMMYFUNCTION("IMPORTRANGE(""https://docs.google.com/spreadsheets/d/1MeEWN-I1oV_STSDYn1IFDPWt_1FKiwhDph83XaGc0o0/edit?usp=sharing"",""งบพรบ!AY87"")"),0)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IFERROR(__xludf.DUMMYFUNCTION("IMPORTRANGE(""https://docs.google.com/spreadsheets/d/1QqKyyYR6Q21VydFLVH3TRQUabQu_ym0Zz7PgGX0-kHA/edit?usp=sharing"",""แผน!K87"")"),0)</f>
        <v>0</v>
      </c>
      <c r="J98" s="880">
        <f>J102</f>
        <v>0</v>
      </c>
      <c r="K98" s="881">
        <f t="shared" ref="K98:K100" ca="1" si="55">IF(I98&gt;0,J98*100/I98,0)</f>
        <v>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IFERROR(__xludf.DUMMYFUNCTION("IMPORTRANGE(""https://docs.google.com/spreadsheets/d/1QqKyyYR6Q21VydFLVH3TRQUabQu_ym0Zz7PgGX0-kHA/edit?usp=sharing"",""แผน!L87"")"),0)</f>
        <v>0</v>
      </c>
      <c r="J99" s="880">
        <f>J104</f>
        <v>0</v>
      </c>
      <c r="K99" s="881">
        <f t="shared" ca="1" si="55"/>
        <v>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IFERROR(__xludf.DUMMYFUNCTION("IMPORTRANGE(""https://docs.google.com/spreadsheets/d/1QqKyyYR6Q21VydFLVH3TRQUabQu_ym0Zz7PgGX0-kHA/edit?usp=sharing"",""แผน!M87"")"),1)</f>
        <v>1</v>
      </c>
      <c r="J100" s="880">
        <f>J107+J110</f>
        <v>1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IFERROR(__xludf.DUMMYFUNCTION("IMPORTRANGE(""https://docs.google.com/spreadsheets/d/1QqKyyYR6Q21VydFLVH3TRQUabQu_ym0Zz7PgGX0-kHA/edit?usp=sharing"",""แผน!N87"")"),0)</f>
        <v>0</v>
      </c>
      <c r="J102" s="1012">
        <v>0</v>
      </c>
      <c r="K102" s="881">
        <f t="shared" ref="K102:K104" ca="1" si="56">IF(I102&gt;0,J102*100/I102,0)</f>
        <v>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IFERROR(__xludf.DUMMYFUNCTION("IMPORTRANGE(""https://docs.google.com/spreadsheets/d/1QqKyyYR6Q21VydFLVH3TRQUabQu_ym0Zz7PgGX0-kHA/edit?usp=sharing"",""แผน!O87"")"),0)</f>
        <v>0</v>
      </c>
      <c r="J103" s="1012">
        <v>0</v>
      </c>
      <c r="K103" s="881">
        <f t="shared" ca="1" si="56"/>
        <v>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IFERROR(__xludf.DUMMYFUNCTION("IMPORTRANGE(""https://docs.google.com/spreadsheets/d/1QqKyyYR6Q21VydFLVH3TRQUabQu_ym0Zz7PgGX0-kHA/edit?usp=sharing"",""แผน!O87"")"),0)</f>
        <v>0</v>
      </c>
      <c r="J104" s="1012">
        <v>0</v>
      </c>
      <c r="K104" s="881">
        <f t="shared" ca="1" si="56"/>
        <v>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IFERROR(__xludf.DUMMYFUNCTION("IMPORTRANGE(""https://docs.google.com/spreadsheets/d/1QqKyyYR6Q21VydFLVH3TRQUabQu_ym0Zz7PgGX0-kHA/edit?usp=sharing"",""แผน!P87"")"),1)</f>
        <v>1</v>
      </c>
      <c r="J106" s="1012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IFERROR(__xludf.DUMMYFUNCTION("IMPORTRANGE(""https://docs.google.com/spreadsheets/d/1QqKyyYR6Q21VydFLVH3TRQUabQu_ym0Zz7PgGX0-kHA/edit?usp=sharing"",""แผน!P87"")"),1)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IFERROR(__xludf.DUMMYFUNCTION("IMPORTRANGE(""https://docs.google.com/spreadsheets/d/1QqKyyYR6Q21VydFLVH3TRQUabQu_ym0Zz7PgGX0-kHA/edit?usp=sharing"",""แผน!Q87"")"),0)</f>
        <v>0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IFERROR(__xludf.DUMMYFUNCTION("IMPORTRANGE(""https://docs.google.com/spreadsheets/d/1QqKyyYR6Q21VydFLVH3TRQUabQu_ym0Zz7PgGX0-kHA/edit?usp=sharing"",""แผน!Q87"")"),0)</f>
        <v>0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IFERROR(__xludf.DUMMYFUNCTION("IMPORTRANGE(""https://docs.google.com/spreadsheets/d/1QqKyyYR6Q21VydFLVH3TRQUabQu_ym0Zz7PgGX0-kHA/edit?usp=sharing"",""แผน!R87"")"),0)</f>
        <v>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1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IFERROR(__xludf.DUMMYFUNCTION("IMPORTRANGE(""https://docs.google.com/spreadsheets/d/1QqKyyYR6Q21VydFLVH3TRQUabQu_ym0Zz7PgGX0-kHA/edit?usp=sharing"",""แผน!R87"")"),0)</f>
        <v>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IFERROR(__xludf.DUMMYFUNCTION("IMPORTRANGE(""https://docs.google.com/spreadsheets/d/1QqKyyYR6Q21VydFLVH3TRQUabQu_ym0Zz7PgGX0-kHA/edit?usp=sharing"",""แผน!R87"")"),0)</f>
        <v>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IFERROR(__xludf.DUMMYFUNCTION("IMPORTRANGE(""https://docs.google.com/spreadsheets/d/1QqKyyYR6Q21VydFLVH3TRQUabQu_ym0Zz7PgGX0-kHA/edit?usp=sharing"",""แผน!S87"")"),1)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IFERROR(__xludf.DUMMYFUNCTION("IMPORTRANGE(""https://docs.google.com/spreadsheets/d/1QqKyyYR6Q21VydFLVH3TRQUabQu_ym0Zz7PgGX0-kHA/edit?usp=sharing"",""แผน!T87"")"),0)</f>
        <v>0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>
        <v>0</v>
      </c>
      <c r="J118" s="1027">
        <v>0</v>
      </c>
      <c r="K118" s="984">
        <v>0</v>
      </c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IFERROR(__xludf.DUMMYFUNCTION("IMPORTRANGE(""https://docs.google.com/spreadsheets/d/1MeEWN-I1oV_STSDYn1IFDPWt_1FKiwhDph83XaGc0o0/edit?usp=sharing"",""งบพรบ!BA87"")"),0)</f>
        <v>0</v>
      </c>
      <c r="M124" s="887">
        <f ca="1">IFERROR(__xludf.DUMMYFUNCTION("IMPORTRANGE(""https://docs.google.com/spreadsheets/d/1MeEWN-I1oV_STSDYn1IFDPWt_1FKiwhDph83XaGc0o0/edit?usp=sharing"",""งบพรบ!BF87"")"),0)</f>
        <v>0</v>
      </c>
      <c r="N124" s="887">
        <f ca="1">IFERROR(__xludf.DUMMYFUNCTION("IMPORTRANGE(""https://docs.google.com/spreadsheets/d/1MeEWN-I1oV_STSDYn1IFDPWt_1FKiwhDph83XaGc0o0/edit?usp=sharing"",""งบพรบ!BH87"")"),0)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IFERROR(__xludf.DUMMYFUNCTION("IMPORTRANGE(""https://docs.google.com/spreadsheets/d/1MeEWN-I1oV_STSDYn1IFDPWt_1FKiwhDph83XaGc0o0/edit?usp=sharing"",""งบพรบ!BD87"")"),0)</f>
        <v>0</v>
      </c>
      <c r="M127" s="887">
        <f ca="1">IFERROR(__xludf.DUMMYFUNCTION("IMPORTRANGE(""https://docs.google.com/spreadsheets/d/1MeEWN-I1oV_STSDYn1IFDPWt_1FKiwhDph83XaGc0o0/edit?usp=sharing"",""งบพรบ!BG87"")"),0)</f>
        <v>0</v>
      </c>
      <c r="N127" s="887">
        <f ca="1">IFERROR(__xludf.DUMMYFUNCTION("IMPORTRANGE(""https://docs.google.com/spreadsheets/d/1MeEWN-I1oV_STSDYn1IFDPWt_1FKiwhDph83XaGc0o0/edit?usp=sharing"",""งบพรบ!BI87"")"),0)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IFERROR(__xludf.DUMMYFUNCTION("IMPORTRANGE(""https://docs.google.com/spreadsheets/d/1MeEWN-I1oV_STSDYn1IFDPWt_1FKiwhDph83XaGc0o0/edit?usp=sharing"",""งบพรบ!BK87"")"),0)</f>
        <v>0</v>
      </c>
      <c r="M137" s="887">
        <f ca="1">IFERROR(__xludf.DUMMYFUNCTION("IMPORTRANGE(""https://docs.google.com/spreadsheets/d/1MeEWN-I1oV_STSDYn1IFDPWt_1FKiwhDph83XaGc0o0/edit?usp=sharing"",""งบพรบ!BP87"")"),0)</f>
        <v>0</v>
      </c>
      <c r="N137" s="887">
        <f ca="1">IFERROR(__xludf.DUMMYFUNCTION("IMPORTRANGE(""https://docs.google.com/spreadsheets/d/1MeEWN-I1oV_STSDYn1IFDPWt_1FKiwhDph83XaGc0o0/edit?usp=sharing"",""งบพรบ!BR87"")"),0)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IFERROR(__xludf.DUMMYFUNCTION("IMPORTRANGE(""https://docs.google.com/spreadsheets/d/1MeEWN-I1oV_STSDYn1IFDPWt_1FKiwhDph83XaGc0o0/edit?usp=sharing"",""งบพรบ!BN87"")"),0)</f>
        <v>0</v>
      </c>
      <c r="M140" s="887">
        <f ca="1">IFERROR(__xludf.DUMMYFUNCTION("IMPORTRANGE(""https://docs.google.com/spreadsheets/d/1MeEWN-I1oV_STSDYn1IFDPWt_1FKiwhDph83XaGc0o0/edit?usp=sharing"",""งบพรบ!BQ87"")"),0)</f>
        <v>0</v>
      </c>
      <c r="N140" s="887">
        <f ca="1">IFERROR(__xludf.DUMMYFUNCTION("IMPORTRANGE(""https://docs.google.com/spreadsheets/d/1MeEWN-I1oV_STSDYn1IFDPWt_1FKiwhDph83XaGc0o0/edit?usp=sharing"",""งบพรบ!BS87"")"),0)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IFERROR(__xludf.DUMMYFUNCTION("IMPORTRANGE(""https://docs.google.com/spreadsheets/d/1QqKyyYR6Q21VydFLVH3TRQUabQu_ym0Zz7PgGX0-kHA/edit?usp=sharing"",""แผน!U87"")"),0)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IFERROR(__xludf.DUMMYFUNCTION("IMPORTRANGE(""https://docs.google.com/spreadsheets/d/1QqKyyYR6Q21VydFLVH3TRQUabQu_ym0Zz7PgGX0-kHA/edit?usp=sharing"",""แผน!V87"")"),0)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IFERROR(__xludf.DUMMYFUNCTION("IMPORTRANGE(""https://docs.google.com/spreadsheets/d/1QqKyyYR6Q21VydFLVH3TRQUabQu_ym0Zz7PgGX0-kHA/edit?usp=sharing"",""แผน!W87"")"),0)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11460</v>
      </c>
      <c r="N149" s="992">
        <f t="shared" ca="1" si="77"/>
        <v>10022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87.452006980802793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11460</v>
      </c>
      <c r="N151" s="887">
        <f t="shared" ca="1" si="80"/>
        <v>10022</v>
      </c>
      <c r="O151" s="887">
        <f t="shared" ca="1" si="78"/>
        <v>0</v>
      </c>
      <c r="P151" s="887">
        <f t="shared" ca="1" si="79"/>
        <v>87.452006980802793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11460</v>
      </c>
      <c r="N152" s="881">
        <f t="shared" ca="1" si="81"/>
        <v>10022</v>
      </c>
      <c r="O152" s="881">
        <f t="shared" ca="1" si="78"/>
        <v>0</v>
      </c>
      <c r="P152" s="881">
        <f t="shared" ca="1" si="79"/>
        <v>87.452006980802793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IFERROR(__xludf.DUMMYFUNCTION("IMPORTRANGE(""https://docs.google.com/spreadsheets/d/1MeEWN-I1oV_STSDYn1IFDPWt_1FKiwhDph83XaGc0o0/edit?usp=sharing"",""งบพรบ!BU87"")"),0)</f>
        <v>0</v>
      </c>
      <c r="M154" s="887">
        <f ca="1">IFERROR(__xludf.DUMMYFUNCTION("IMPORTRANGE(""https://docs.google.com/spreadsheets/d/1MeEWN-I1oV_STSDYn1IFDPWt_1FKiwhDph83XaGc0o0/edit?usp=sharing"",""งบพรบ!BZ87"")"),11460)</f>
        <v>11460</v>
      </c>
      <c r="N154" s="887">
        <f ca="1">IFERROR(__xludf.DUMMYFUNCTION("IMPORTRANGE(""https://docs.google.com/spreadsheets/d/1MeEWN-I1oV_STSDYn1IFDPWt_1FKiwhDph83XaGc0o0/edit?usp=sharing"",""งบพรบ!CB87"")"),10022)</f>
        <v>10022</v>
      </c>
      <c r="O154" s="887">
        <f t="shared" ca="1" si="78"/>
        <v>0</v>
      </c>
      <c r="P154" s="887">
        <f t="shared" ca="1" si="79"/>
        <v>87.452006980802793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IFERROR(__xludf.DUMMYFUNCTION("IMPORTRANGE(""https://docs.google.com/spreadsheets/d/1MeEWN-I1oV_STSDYn1IFDPWt_1FKiwhDph83XaGc0o0/edit?usp=sharing"",""งบพรบ!BX87"")"),0)</f>
        <v>0</v>
      </c>
      <c r="M157" s="887">
        <f ca="1">IFERROR(__xludf.DUMMYFUNCTION("IMPORTRANGE(""https://docs.google.com/spreadsheets/d/1MeEWN-I1oV_STSDYn1IFDPWt_1FKiwhDph83XaGc0o0/edit?usp=sharing"",""งบพรบ!CA87"")"),0)</f>
        <v>0</v>
      </c>
      <c r="N157" s="887">
        <f ca="1">IFERROR(__xludf.DUMMYFUNCTION("IMPORTRANGE(""https://docs.google.com/spreadsheets/d/1MeEWN-I1oV_STSDYn1IFDPWt_1FKiwhDph83XaGc0o0/edit?usp=sharing"",""งบพรบ!CC87"")"),0)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IFERROR(__xludf.DUMMYFUNCTION("IMPORTRANGE(""https://docs.google.com/spreadsheets/d/1QqKyyYR6Q21VydFLVH3TRQUabQu_ym0Zz7PgGX0-kHA/edit?usp=sharing"",""แผน!X87"")"),0)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12</v>
      </c>
      <c r="J164" s="1075">
        <f t="shared" si="83"/>
        <v>12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23060</v>
      </c>
      <c r="M165" s="992">
        <f t="shared" ca="1" si="84"/>
        <v>43770</v>
      </c>
      <c r="N165" s="992">
        <f t="shared" ca="1" si="84"/>
        <v>43770</v>
      </c>
      <c r="O165" s="992">
        <f t="shared" ref="O165:O173" ca="1" si="85">IF(L165&gt;0,N165*100/L165,0)</f>
        <v>189.80919340849957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23060</v>
      </c>
      <c r="M167" s="887">
        <f t="shared" ca="1" si="87"/>
        <v>43770</v>
      </c>
      <c r="N167" s="887">
        <f t="shared" ca="1" si="87"/>
        <v>43770</v>
      </c>
      <c r="O167" s="887">
        <f t="shared" ca="1" si="85"/>
        <v>189.80919340849957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23060</v>
      </c>
      <c r="M168" s="881">
        <f t="shared" ca="1" si="88"/>
        <v>43770</v>
      </c>
      <c r="N168" s="881">
        <f t="shared" ca="1" si="88"/>
        <v>43770</v>
      </c>
      <c r="O168" s="881">
        <f t="shared" ca="1" si="85"/>
        <v>189.80919340849957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IFERROR(__xludf.DUMMYFUNCTION("IMPORTRANGE(""https://docs.google.com/spreadsheets/d/1MeEWN-I1oV_STSDYn1IFDPWt_1FKiwhDph83XaGc0o0/edit?usp=sharing"",""งบพรบ!CE87"")"),23060)</f>
        <v>23060</v>
      </c>
      <c r="M170" s="887">
        <f ca="1">IFERROR(__xludf.DUMMYFUNCTION("IMPORTRANGE(""https://docs.google.com/spreadsheets/d/1MeEWN-I1oV_STSDYn1IFDPWt_1FKiwhDph83XaGc0o0/edit?usp=sharing"",""งบพรบ!CJ87"")"),43770)</f>
        <v>43770</v>
      </c>
      <c r="N170" s="887">
        <f ca="1">IFERROR(__xludf.DUMMYFUNCTION("IMPORTRANGE(""https://docs.google.com/spreadsheets/d/1MeEWN-I1oV_STSDYn1IFDPWt_1FKiwhDph83XaGc0o0/edit?usp=sharing"",""งบพรบ!CL87"")"),43770)</f>
        <v>43770</v>
      </c>
      <c r="O170" s="887">
        <f t="shared" ca="1" si="85"/>
        <v>189.80919340849957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IFERROR(__xludf.DUMMYFUNCTION("IMPORTRANGE(""https://docs.google.com/spreadsheets/d/1MeEWN-I1oV_STSDYn1IFDPWt_1FKiwhDph83XaGc0o0/edit?usp=sharing"",""งบพรบ!CH87"")"),0)</f>
        <v>0</v>
      </c>
      <c r="M173" s="887">
        <f ca="1">IFERROR(__xludf.DUMMYFUNCTION("IMPORTRANGE(""https://docs.google.com/spreadsheets/d/1MeEWN-I1oV_STSDYn1IFDPWt_1FKiwhDph83XaGc0o0/edit?usp=sharing"",""งบพรบ!CK87"")"),0)</f>
        <v>0</v>
      </c>
      <c r="N173" s="887">
        <f ca="1">IFERROR(__xludf.DUMMYFUNCTION("IMPORTRANGE(""https://docs.google.com/spreadsheets/d/1MeEWN-I1oV_STSDYn1IFDPWt_1FKiwhDph83XaGc0o0/edit?usp=sharing"",""งบพรบ!CM87"")"),0)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12</v>
      </c>
      <c r="J174" s="1067">
        <f t="shared" si="90"/>
        <v>12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IFERROR(__xludf.DUMMYFUNCTION("IMPORTRANGE(""https://docs.google.com/spreadsheets/d/1QqKyyYR6Q21VydFLVH3TRQUabQu_ym0Zz7PgGX0-kHA/edit?usp=sharing"",""แผน!Y87"")"),12)</f>
        <v>12</v>
      </c>
      <c r="J176" s="1012">
        <v>12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38200</v>
      </c>
      <c r="M181" s="992">
        <f t="shared" ca="1" si="92"/>
        <v>33500</v>
      </c>
      <c r="N181" s="992">
        <f t="shared" ca="1" si="92"/>
        <v>26860</v>
      </c>
      <c r="O181" s="992">
        <f t="shared" ref="O181:O189" ca="1" si="93">IF(L181&gt;0,N181*100/L181,0)</f>
        <v>70.314136125654457</v>
      </c>
      <c r="P181" s="992">
        <f t="shared" ref="P181:P189" ca="1" si="94">IF(M181&gt;0,N181*100/M181,0)</f>
        <v>80.179104477611943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38200</v>
      </c>
      <c r="M183" s="887">
        <f t="shared" ca="1" si="95"/>
        <v>33500</v>
      </c>
      <c r="N183" s="887">
        <f t="shared" ca="1" si="95"/>
        <v>26860</v>
      </c>
      <c r="O183" s="887">
        <f t="shared" ca="1" si="93"/>
        <v>70.314136125654457</v>
      </c>
      <c r="P183" s="887">
        <f t="shared" ca="1" si="94"/>
        <v>80.179104477611943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38200</v>
      </c>
      <c r="M184" s="881">
        <f t="shared" ca="1" si="96"/>
        <v>33500</v>
      </c>
      <c r="N184" s="881">
        <f t="shared" ca="1" si="96"/>
        <v>26860</v>
      </c>
      <c r="O184" s="881">
        <f t="shared" ca="1" si="93"/>
        <v>70.314136125654457</v>
      </c>
      <c r="P184" s="881">
        <f t="shared" ca="1" si="94"/>
        <v>80.179104477611943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IFERROR(__xludf.DUMMYFUNCTION("IMPORTRANGE(""https://docs.google.com/spreadsheets/d/1MeEWN-I1oV_STSDYn1IFDPWt_1FKiwhDph83XaGc0o0/edit?usp=sharing"",""งบพรบ!CO87"")"),38200)</f>
        <v>38200</v>
      </c>
      <c r="M186" s="887">
        <f ca="1">IFERROR(__xludf.DUMMYFUNCTION("IMPORTRANGE(""https://docs.google.com/spreadsheets/d/1MeEWN-I1oV_STSDYn1IFDPWt_1FKiwhDph83XaGc0o0/edit?usp=sharing"",""งบพรบ!CT87"")"),33500)</f>
        <v>33500</v>
      </c>
      <c r="N186" s="887">
        <f ca="1">IFERROR(__xludf.DUMMYFUNCTION("IMPORTRANGE(""https://docs.google.com/spreadsheets/d/1MeEWN-I1oV_STSDYn1IFDPWt_1FKiwhDph83XaGc0o0/edit?usp=sharing"",""งบพรบ!CV87"")"),26860)</f>
        <v>26860</v>
      </c>
      <c r="O186" s="887">
        <f t="shared" ca="1" si="93"/>
        <v>70.314136125654457</v>
      </c>
      <c r="P186" s="887">
        <f t="shared" ca="1" si="94"/>
        <v>80.179104477611943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IFERROR(__xludf.DUMMYFUNCTION("IMPORTRANGE(""https://docs.google.com/spreadsheets/d/1MeEWN-I1oV_STSDYn1IFDPWt_1FKiwhDph83XaGc0o0/edit?usp=sharing"",""งบพรบ!CR87"")"),0)</f>
        <v>0</v>
      </c>
      <c r="M189" s="887">
        <f ca="1">IFERROR(__xludf.DUMMYFUNCTION("IMPORTRANGE(""https://docs.google.com/spreadsheets/d/1MeEWN-I1oV_STSDYn1IFDPWt_1FKiwhDph83XaGc0o0/edit?usp=sharing"",""งบพรบ!CU87"")"),0)</f>
        <v>0</v>
      </c>
      <c r="N189" s="887">
        <f ca="1">IFERROR(__xludf.DUMMYFUNCTION("IMPORTRANGE(""https://docs.google.com/spreadsheets/d/1MeEWN-I1oV_STSDYn1IFDPWt_1FKiwhDph83XaGc0o0/edit?usp=sharing"",""งบพรบ!CW87"")"),0)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IFERROR(__xludf.DUMMYFUNCTION("IMPORTRANGE(""https://docs.google.com/spreadsheets/d/1QqKyyYR6Q21VydFLVH3TRQUabQu_ym0Zz7PgGX0-kHA/edit?usp=sharing"",""แผน!Z87"")"),6000)</f>
        <v>6000</v>
      </c>
      <c r="M191" s="992"/>
      <c r="N191" s="1081">
        <v>860</v>
      </c>
      <c r="O191" s="992">
        <f ca="1">IF(L191&gt;0,N191*100/L191,0)</f>
        <v>14.333333333333334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IFERROR(__xludf.DUMMYFUNCTION("IMPORTRANGE(""https://docs.google.com/spreadsheets/d/1QqKyyYR6Q21VydFLVH3TRQUabQu_ym0Zz7PgGX0-kHA/edit?usp=sharing"",""แผน!AC87"")"),4)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56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56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2</v>
      </c>
      <c r="J197" s="1078">
        <f t="shared" si="99"/>
        <v>2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26000</v>
      </c>
      <c r="M198" s="992"/>
      <c r="N198" s="992">
        <f>N199+N200+N201+N202</f>
        <v>26000</v>
      </c>
      <c r="O198" s="992">
        <f ca="1">IF(L198&gt;0,N198*100/L198,0)</f>
        <v>100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IFERROR(__xludf.DUMMYFUNCTION("IMPORTRANGE(""https://docs.google.com/spreadsheets/d/1QqKyyYR6Q21VydFLVH3TRQUabQu_ym0Zz7PgGX0-kHA/edit?usp=sharing"",""แผน!AE87"")"),2000)</f>
        <v>2000</v>
      </c>
      <c r="M199" s="881"/>
      <c r="N199" s="1085">
        <v>2000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IFERROR(__xludf.DUMMYFUNCTION("IMPORTRANGE(""https://docs.google.com/spreadsheets/d/1QqKyyYR6Q21VydFLVH3TRQUabQu_ym0Zz7PgGX0-kHA/edit?usp=sharing"",""แผน!AF87"")"),16000)</f>
        <v>16000</v>
      </c>
      <c r="M200" s="881"/>
      <c r="N200" s="1085">
        <v>16000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IFERROR(__xludf.DUMMYFUNCTION("IMPORTRANGE(""https://docs.google.com/spreadsheets/d/1QqKyyYR6Q21VydFLVH3TRQUabQu_ym0Zz7PgGX0-kHA/edit?usp=sharing"",""แผน!AG87"")"),8000)</f>
        <v>8000</v>
      </c>
      <c r="M201" s="881"/>
      <c r="N201" s="1085">
        <v>8000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IFERROR(__xludf.DUMMYFUNCTION("IMPORTRANGE(""https://docs.google.com/spreadsheets/d/1QqKyyYR6Q21VydFLVH3TRQUabQu_ym0Zz7PgGX0-kHA/edit?usp=sharing"",""แผน!AH87"")"),0)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IFERROR(__xludf.DUMMYFUNCTION("IMPORTRANGE(""https://docs.google.com/spreadsheets/d/1QqKyyYR6Q21VydFLVH3TRQUabQu_ym0Zz7PgGX0-kHA/edit?usp=sharing"",""แผน!AI87"")"),2)</f>
        <v>2</v>
      </c>
      <c r="J204" s="1012">
        <v>2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2</v>
      </c>
      <c r="J206" s="1012">
        <v>2</v>
      </c>
      <c r="K206" s="998">
        <f t="shared" ref="K206:K208" si="100">IF(I206&gt;0,J206*100/I206,0)</f>
        <v>100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IFERROR(__xludf.DUMMYFUNCTION("IMPORTRANGE(""https://docs.google.com/spreadsheets/d/1QqKyyYR6Q21VydFLVH3TRQUabQu_ym0Zz7PgGX0-kHA/edit?usp=sharing"",""แผน!AK87"")"),0)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IFERROR(__xludf.DUMMYFUNCTION("IMPORTRANGE(""https://docs.google.com/spreadsheets/d/1QqKyyYR6Q21VydFLVH3TRQUabQu_ym0Zz7PgGX0-kHA/edit?usp=sharing"",""แผน!AL87"")"),0)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IFERROR(__xludf.DUMMYFUNCTION("IMPORTRANGE(""https://docs.google.com/spreadsheets/d/1QqKyyYR6Q21VydFLVH3TRQUabQu_ym0Zz7PgGX0-kHA/edit?usp=sharing"",""แผน!AM87"")"),0)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IFERROR(__xludf.DUMMYFUNCTION("IMPORTRANGE(""https://docs.google.com/spreadsheets/d/1QqKyyYR6Q21VydFLVH3TRQUabQu_ym0Zz7PgGX0-kHA/edit?usp=sharing"",""แผน!AN87"")"),0)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IFERROR(__xludf.DUMMYFUNCTION("IMPORTRANGE(""https://docs.google.com/spreadsheets/d/1QqKyyYR6Q21VydFLVH3TRQUabQu_ym0Zz7PgGX0-kHA/edit?usp=sharing"",""แผน!AN87"")"),0)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6400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6200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IFERROR(__xludf.DUMMYFUNCTION("IMPORTRANGE(""https://docs.google.com/spreadsheets/d/1QqKyyYR6Q21VydFLVH3TRQUabQu_ym0Zz7PgGX0-kHA/edit?usp=sharing"",""แผน!AP87"")"),3000)</f>
        <v>3000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IFERROR(__xludf.DUMMYFUNCTION("IMPORTRANGE(""https://docs.google.com/spreadsheets/d/1QqKyyYR6Q21VydFLVH3TRQUabQu_ym0Zz7PgGX0-kHA/edit?usp=sharing"",""แผน!AQ87"")"),3200)</f>
        <v>3200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IFERROR(__xludf.DUMMYFUNCTION("IMPORTRANGE(""https://docs.google.com/spreadsheets/d/1QqKyyYR6Q21VydFLVH3TRQUabQu_ym0Zz7PgGX0-kHA/edit?usp=sharing"",""แผน!AR87"")"),0)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IFERROR(__xludf.DUMMYFUNCTION("IMPORTRANGE(""https://docs.google.com/spreadsheets/d/1QqKyyYR6Q21VydFLVH3TRQUabQu_ym0Zz7PgGX0-kHA/edit?usp=sharing"",""แผน!AT87"")"),6400)</f>
        <v>6400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IFERROR(__xludf.DUMMYFUNCTION("IMPORTRANGE(""https://docs.google.com/spreadsheets/d/1QqKyyYR6Q21VydFLVH3TRQUabQu_ym0Zz7PgGX0-kHA/edit?usp=sharing"",""แผน!AT87"")"),6400)</f>
        <v>6400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IFERROR(__xludf.DUMMYFUNCTION("IMPORTRANGE(""https://docs.google.com/spreadsheets/d/1QqKyyYR6Q21VydFLVH3TRQUabQu_ym0Zz7PgGX0-kHA/edit?usp=sharing"",""แผน!AS87"")"),0)</f>
        <v>0</v>
      </c>
      <c r="J225" s="1012">
        <v>0</v>
      </c>
      <c r="K225" s="998">
        <f t="shared" ca="1" si="104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IFERROR(__xludf.DUMMYFUNCTION("IMPORTRANGE(""https://docs.google.com/spreadsheets/d/1QqKyyYR6Q21VydFLVH3TRQUabQu_ym0Zz7PgGX0-kHA/edit?usp=sharing"",""แผน!AV87"")"),0)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IFERROR(__xludf.DUMMYFUNCTION("IMPORTRANGE(""https://docs.google.com/spreadsheets/d/1QqKyyYR6Q21VydFLVH3TRQUabQu_ym0Zz7PgGX0-kHA/edit?usp=sharing"",""แผน!AW87"")"),0)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IFERROR(__xludf.DUMMYFUNCTION("IMPORTRANGE(""https://docs.google.com/spreadsheets/d/1QqKyyYR6Q21VydFLVH3TRQUabQu_ym0Zz7PgGX0-kHA/edit?usp=sharing"",""แผน!AX87"")"),0)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IFERROR(__xludf.DUMMYFUNCTION("IMPORTRANGE(""https://docs.google.com/spreadsheets/d/1QqKyyYR6Q21VydFLVH3TRQUabQu_ym0Zz7PgGX0-kHA/edit?usp=sharing"",""แผน!AY87"")"),0)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IFERROR(__xludf.DUMMYFUNCTION("IMPORTRANGE(""https://docs.google.com/spreadsheets/d/1QqKyyYR6Q21VydFLVH3TRQUabQu_ym0Zz7PgGX0-kHA/edit?usp=sharing"",""แผน!BE87"")"),0)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IFERROR(__xludf.DUMMYFUNCTION("IMPORTRANGE(""https://docs.google.com/spreadsheets/d/1QqKyyYR6Q21VydFLVH3TRQUabQu_ym0Zz7PgGX0-kHA/edit?usp=sharing"",""แผน!AZ87"")"),0)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IFERROR(__xludf.DUMMYFUNCTION("IMPORTRANGE(""https://docs.google.com/spreadsheets/d/1QqKyyYR6Q21VydFLVH3TRQUabQu_ym0Zz7PgGX0-kHA/edit?usp=sharing"",""แผน!BA87"")"),0)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IFERROR(__xludf.DUMMYFUNCTION("IMPORTRANGE(""https://docs.google.com/spreadsheets/d/1QqKyyYR6Q21VydFLVH3TRQUabQu_ym0Zz7PgGX0-kHA/edit?usp=sharing"",""แผน!BB87"")"),0)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IFERROR(__xludf.DUMMYFUNCTION("IMPORTRANGE(""https://docs.google.com/spreadsheets/d/1QqKyyYR6Q21VydFLVH3TRQUabQu_ym0Zz7PgGX0-kHA/edit?usp=sharing"",""แผน!BC87"")"),0)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IFERROR(__xludf.DUMMYFUNCTION("IMPORTRANGE(""https://docs.google.com/spreadsheets/d/1QqKyyYR6Q21VydFLVH3TRQUabQu_ym0Zz7PgGX0-kHA/edit?usp=sharing"",""แผน!BF87"")"),"")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20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25000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25000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25000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IFERROR(__xludf.DUMMYFUNCTION("IMPORTRANGE(""https://docs.google.com/spreadsheets/d/1MeEWN-I1oV_STSDYn1IFDPWt_1FKiwhDph83XaGc0o0/edit?usp=sharing"",""งบพรบ!CY87"")"),25000)</f>
        <v>25000</v>
      </c>
      <c r="M266" s="887">
        <f ca="1">IFERROR(__xludf.DUMMYFUNCTION("IMPORTRANGE(""https://docs.google.com/spreadsheets/d/1MeEWN-I1oV_STSDYn1IFDPWt_1FKiwhDph83XaGc0o0/edit?usp=sharing"",""งบพรบ!DD87"")"),0)</f>
        <v>0</v>
      </c>
      <c r="N266" s="887">
        <f ca="1">IFERROR(__xludf.DUMMYFUNCTION("IMPORTRANGE(""https://docs.google.com/spreadsheets/d/1MeEWN-I1oV_STSDYn1IFDPWt_1FKiwhDph83XaGc0o0/edit?usp=sharing"",""งบพรบ!DF87"")"),0)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IFERROR(__xludf.DUMMYFUNCTION("IMPORTRANGE(""https://docs.google.com/spreadsheets/d/1MeEWN-I1oV_STSDYn1IFDPWt_1FKiwhDph83XaGc0o0/edit?usp=sharing"",""งบพรบ!DB87"")"),0)</f>
        <v>0</v>
      </c>
      <c r="M269" s="887">
        <f ca="1">IFERROR(__xludf.DUMMYFUNCTION("IMPORTRANGE(""https://docs.google.com/spreadsheets/d/1MeEWN-I1oV_STSDYn1IFDPWt_1FKiwhDph83XaGc0o0/edit?usp=sharing"",""งบพรบ!DE87"")"),0)</f>
        <v>0</v>
      </c>
      <c r="N269" s="887">
        <f ca="1">IFERROR(__xludf.DUMMYFUNCTION("IMPORTRANGE(""https://docs.google.com/spreadsheets/d/1MeEWN-I1oV_STSDYn1IFDPWt_1FKiwhDph83XaGc0o0/edit?usp=sharing"",""งบพรบ!DG87"")"),0)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IFERROR(__xludf.DUMMYFUNCTION("IMPORTRANGE(""https://docs.google.com/spreadsheets/d/1QqKyyYR6Q21VydFLVH3TRQUabQu_ym0Zz7PgGX0-kHA/edit?usp=sharing"",""แผน!EA87"")"),20)</f>
        <v>20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IFERROR(__xludf.DUMMYFUNCTION("IMPORTRANGE(""https://docs.google.com/spreadsheets/d/1MeEWN-I1oV_STSDYn1IFDPWt_1FKiwhDph83XaGc0o0/edit?usp=sharing"",""งบพรบ!DI87"")"),0)</f>
        <v>0</v>
      </c>
      <c r="M282" s="887">
        <f ca="1">IFERROR(__xludf.DUMMYFUNCTION("IMPORTRANGE(""https://docs.google.com/spreadsheets/d/1MeEWN-I1oV_STSDYn1IFDPWt_1FKiwhDph83XaGc0o0/edit?usp=sharing"",""งบพรบ!DN87"")"),0)</f>
        <v>0</v>
      </c>
      <c r="N282" s="887">
        <f ca="1">IFERROR(__xludf.DUMMYFUNCTION("IMPORTRANGE(""https://docs.google.com/spreadsheets/d/1MeEWN-I1oV_STSDYn1IFDPWt_1FKiwhDph83XaGc0o0/edit?usp=sharing"",""งบพรบ!DP87"")"),0)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IFERROR(__xludf.DUMMYFUNCTION("IMPORTRANGE(""https://docs.google.com/spreadsheets/d/1MeEWN-I1oV_STSDYn1IFDPWt_1FKiwhDph83XaGc0o0/edit?usp=sharing"",""งบพรบ!DL87"")"),0)</f>
        <v>0</v>
      </c>
      <c r="M285" s="887">
        <f ca="1">IFERROR(__xludf.DUMMYFUNCTION("IMPORTRANGE(""https://docs.google.com/spreadsheets/d/1MeEWN-I1oV_STSDYn1IFDPWt_1FKiwhDph83XaGc0o0/edit?usp=sharing"",""งบพรบ!DO87"")"),0)</f>
        <v>0</v>
      </c>
      <c r="N285" s="887">
        <f ca="1">IFERROR(__xludf.DUMMYFUNCTION("IMPORTRANGE(""https://docs.google.com/spreadsheets/d/1MeEWN-I1oV_STSDYn1IFDPWt_1FKiwhDph83XaGc0o0/edit?usp=sharing"",""งบพรบ!DQ87"")"),0)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IFERROR(__xludf.DUMMYFUNCTION("IMPORTRANGE(""https://docs.google.com/spreadsheets/d/1QqKyyYR6Q21VydFLVH3TRQUabQu_ym0Zz7PgGX0-kHA/edit?usp=sharing"",""แผน!EC87"")"),0)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IFERROR(__xludf.DUMMYFUNCTION("IMPORTRANGE(""https://docs.google.com/spreadsheets/d/1QqKyyYR6Q21VydFLVH3TRQUabQu_ym0Zz7PgGX0-kHA/edit?usp=sharing"",""แผน!EB87"")"),0)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IFERROR(__xludf.DUMMYFUNCTION("IMPORTRANGE(""https://docs.google.com/spreadsheets/d/1QqKyyYR6Q21VydFLVH3TRQUabQu_ym0Zz7PgGX0-kHA/edit?usp=sharing"",""แผน!EB87"")"),0)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IFERROR(__xludf.DUMMYFUNCTION("IMPORTRANGE(""https://docs.google.com/spreadsheets/d/1QqKyyYR6Q21VydFLVH3TRQUabQu_ym0Zz7PgGX0-kHA/edit?usp=sharing"",""แผน!EB87"")"),0)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IFERROR(__xludf.DUMMYFUNCTION("IMPORTRANGE(""https://docs.google.com/spreadsheets/d/1QqKyyYR6Q21VydFLVH3TRQUabQu_ym0Zz7PgGX0-kHA/edit?usp=sharing"",""แผน!EB87"")"),0)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IFERROR(__xludf.DUMMYFUNCTION("IMPORTRANGE(""https://docs.google.com/spreadsheets/d/1QqKyyYR6Q21VydFLVH3TRQUabQu_ym0Zz7PgGX0-kHA/edit?usp=sharing"",""แผน!EB87"")"),0)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0</v>
      </c>
      <c r="J297" s="1190">
        <f t="shared" si="134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0</v>
      </c>
      <c r="M298" s="992">
        <f t="shared" ca="1" si="135"/>
        <v>0</v>
      </c>
      <c r="N298" s="992">
        <f t="shared" ca="1" si="135"/>
        <v>0</v>
      </c>
      <c r="O298" s="992">
        <f t="shared" ref="O298:O306" ca="1" si="136">IF(L298&gt;0,N298*100/L298,0)</f>
        <v>0</v>
      </c>
      <c r="P298" s="992">
        <f t="shared" ref="P298:P306" ca="1" si="137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0</v>
      </c>
      <c r="M300" s="887">
        <f t="shared" ca="1" si="138"/>
        <v>0</v>
      </c>
      <c r="N300" s="887">
        <f t="shared" ca="1" si="138"/>
        <v>0</v>
      </c>
      <c r="O300" s="887">
        <f t="shared" ca="1" si="136"/>
        <v>0</v>
      </c>
      <c r="P300" s="887">
        <f t="shared" ca="1" si="137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0</v>
      </c>
      <c r="M301" s="881">
        <f t="shared" ca="1" si="139"/>
        <v>0</v>
      </c>
      <c r="N301" s="881">
        <f t="shared" ca="1" si="139"/>
        <v>0</v>
      </c>
      <c r="O301" s="881">
        <f t="shared" ca="1" si="136"/>
        <v>0</v>
      </c>
      <c r="P301" s="881">
        <f t="shared" ca="1" si="137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IFERROR(__xludf.DUMMYFUNCTION("IMPORTRANGE(""https://docs.google.com/spreadsheets/d/1MeEWN-I1oV_STSDYn1IFDPWt_1FKiwhDph83XaGc0o0/edit?usp=sharing"",""งบพรบ!DS87"")"),0)</f>
        <v>0</v>
      </c>
      <c r="M303" s="887">
        <f ca="1">IFERROR(__xludf.DUMMYFUNCTION("IMPORTRANGE(""https://docs.google.com/spreadsheets/d/1MeEWN-I1oV_STSDYn1IFDPWt_1FKiwhDph83XaGc0o0/edit?usp=sharing"",""งบพรบ!DX87"")"),0)</f>
        <v>0</v>
      </c>
      <c r="N303" s="887">
        <f ca="1">IFERROR(__xludf.DUMMYFUNCTION("IMPORTRANGE(""https://docs.google.com/spreadsheets/d/1MeEWN-I1oV_STSDYn1IFDPWt_1FKiwhDph83XaGc0o0/edit?usp=sharing"",""งบพรบ!DZ87"")"),0)</f>
        <v>0</v>
      </c>
      <c r="O303" s="887">
        <f t="shared" ca="1" si="136"/>
        <v>0</v>
      </c>
      <c r="P303" s="887">
        <f t="shared" ca="1" si="137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IFERROR(__xludf.DUMMYFUNCTION("IMPORTRANGE(""https://docs.google.com/spreadsheets/d/1MeEWN-I1oV_STSDYn1IFDPWt_1FKiwhDph83XaGc0o0/edit?usp=sharing"",""งบพรบ!DV87"")"),0)</f>
        <v>0</v>
      </c>
      <c r="M306" s="887">
        <f ca="1">IFERROR(__xludf.DUMMYFUNCTION("IMPORTRANGE(""https://docs.google.com/spreadsheets/d/1MeEWN-I1oV_STSDYn1IFDPWt_1FKiwhDph83XaGc0o0/edit?usp=sharing"",""งบพรบ!DY87"")"),0)</f>
        <v>0</v>
      </c>
      <c r="N306" s="887">
        <f ca="1">IFERROR(__xludf.DUMMYFUNCTION("IMPORTRANGE(""https://docs.google.com/spreadsheets/d/1MeEWN-I1oV_STSDYn1IFDPWt_1FKiwhDph83XaGc0o0/edit?usp=sharing"",""งบพรบ!EA87"")"),0)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IFERROR(__xludf.DUMMYFUNCTION("IMPORTRANGE(""https://docs.google.com/spreadsheets/d/1QqKyyYR6Q21VydFLVH3TRQUabQu_ym0Zz7PgGX0-kHA/edit?usp=sharing"",""แผน!ED87"")"),0)</f>
        <v>0</v>
      </c>
      <c r="J309" s="1012">
        <v>0</v>
      </c>
      <c r="K309" s="881">
        <f t="shared" ref="K309:K312" ca="1" si="141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IFERROR(__xludf.DUMMYFUNCTION("IMPORTRANGE(""https://docs.google.com/spreadsheets/d/1QqKyyYR6Q21VydFLVH3TRQUabQu_ym0Zz7PgGX0-kHA/edit?usp=sharing"",""แผน!ED87"")"),0)</f>
        <v>0</v>
      </c>
      <c r="J310" s="1012">
        <v>0</v>
      </c>
      <c r="K310" s="881">
        <f t="shared" ca="1" si="141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IFERROR(__xludf.DUMMYFUNCTION("IMPORTRANGE(""https://docs.google.com/spreadsheets/d/1QqKyyYR6Q21VydFLVH3TRQUabQu_ym0Zz7PgGX0-kHA/edit?usp=sharing"",""แผน!ED87"")"),0)</f>
        <v>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IFERROR(__xludf.DUMMYFUNCTION("IMPORTRANGE(""https://docs.google.com/spreadsheets/d/1QqKyyYR6Q21VydFLVH3TRQUabQu_ym0Zz7PgGX0-kHA/edit?usp=sharing"",""แผน!EE87"")"),0)</f>
        <v>0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0</v>
      </c>
      <c r="J314" s="1190">
        <f t="shared" si="142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0</v>
      </c>
      <c r="M315" s="992">
        <f t="shared" ca="1" si="143"/>
        <v>0</v>
      </c>
      <c r="N315" s="992">
        <f t="shared" ca="1" si="143"/>
        <v>0</v>
      </c>
      <c r="O315" s="992">
        <f t="shared" ref="O315:O323" ca="1" si="144">IF(L315&gt;0,N315*100/L315,0)</f>
        <v>0</v>
      </c>
      <c r="P315" s="992">
        <f t="shared" ref="P315:P323" ca="1" si="145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0</v>
      </c>
      <c r="M317" s="887">
        <f t="shared" ca="1" si="146"/>
        <v>0</v>
      </c>
      <c r="N317" s="887">
        <f t="shared" ca="1" si="146"/>
        <v>0</v>
      </c>
      <c r="O317" s="887">
        <f t="shared" ca="1" si="144"/>
        <v>0</v>
      </c>
      <c r="P317" s="887">
        <f t="shared" ca="1" si="145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0</v>
      </c>
      <c r="M318" s="881">
        <f t="shared" ca="1" si="147"/>
        <v>0</v>
      </c>
      <c r="N318" s="881">
        <f t="shared" ca="1" si="147"/>
        <v>0</v>
      </c>
      <c r="O318" s="881">
        <f t="shared" ca="1" si="144"/>
        <v>0</v>
      </c>
      <c r="P318" s="881">
        <f t="shared" ca="1" si="145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IFERROR(__xludf.DUMMYFUNCTION("IMPORTRANGE(""https://docs.google.com/spreadsheets/d/1MeEWN-I1oV_STSDYn1IFDPWt_1FKiwhDph83XaGc0o0/edit?usp=sharing"",""งบพรบ!EC87"")"),0)</f>
        <v>0</v>
      </c>
      <c r="M320" s="887">
        <f ca="1">IFERROR(__xludf.DUMMYFUNCTION("IMPORTRANGE(""https://docs.google.com/spreadsheets/d/1MeEWN-I1oV_STSDYn1IFDPWt_1FKiwhDph83XaGc0o0/edit?usp=sharing"",""งบพรบ!EH87"")"),0)</f>
        <v>0</v>
      </c>
      <c r="N320" s="887">
        <f ca="1">IFERROR(__xludf.DUMMYFUNCTION("IMPORTRANGE(""https://docs.google.com/spreadsheets/d/1MeEWN-I1oV_STSDYn1IFDPWt_1FKiwhDph83XaGc0o0/edit?usp=sharing"",""งบพรบ!EJ87"")"),0)</f>
        <v>0</v>
      </c>
      <c r="O320" s="887">
        <f t="shared" ca="1" si="144"/>
        <v>0</v>
      </c>
      <c r="P320" s="887">
        <f t="shared" ca="1" si="145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IFERROR(__xludf.DUMMYFUNCTION("IMPORTRANGE(""https://docs.google.com/spreadsheets/d/1MeEWN-I1oV_STSDYn1IFDPWt_1FKiwhDph83XaGc0o0/edit?usp=sharing"",""งบพรบ!EF87"")"),0)</f>
        <v>0</v>
      </c>
      <c r="M323" s="887">
        <f ca="1">IFERROR(__xludf.DUMMYFUNCTION("IMPORTRANGE(""https://docs.google.com/spreadsheets/d/1MeEWN-I1oV_STSDYn1IFDPWt_1FKiwhDph83XaGc0o0/edit?usp=sharing"",""งบพรบ!EI87"")"),0)</f>
        <v>0</v>
      </c>
      <c r="N323" s="887">
        <f ca="1">IFERROR(__xludf.DUMMYFUNCTION("IMPORTRANGE(""https://docs.google.com/spreadsheets/d/1MeEWN-I1oV_STSDYn1IFDPWt_1FKiwhDph83XaGc0o0/edit?usp=sharing"",""งบพรบ!EK87"")"),0)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IFERROR(__xludf.DUMMYFUNCTION("IMPORTRANGE(""https://docs.google.com/spreadsheets/d/1QqKyyYR6Q21VydFLVH3TRQUabQu_ym0Zz7PgGX0-kHA/edit?usp=sharing"",""แผน!EF87"")"),0)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IFERROR(__xludf.DUMMYFUNCTION("IMPORTRANGE(""https://docs.google.com/spreadsheets/d/1QqKyyYR6Q21VydFLVH3TRQUabQu_ym0Zz7PgGX0-kHA/edit?usp=sharing"",""แผน!EG87"")"),200)</f>
        <v>200</v>
      </c>
      <c r="J327" s="1190">
        <f ca="1">J338+J341+J342+J343</f>
        <v>181</v>
      </c>
      <c r="K327" s="1191">
        <f ca="1">IF(I327&gt;0,J327*100/I327,0)</f>
        <v>90.5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157000</v>
      </c>
      <c r="M328" s="992">
        <f t="shared" ca="1" si="149"/>
        <v>120250</v>
      </c>
      <c r="N328" s="992">
        <f t="shared" ca="1" si="149"/>
        <v>75112</v>
      </c>
      <c r="O328" s="992">
        <f t="shared" ref="O328:O336" ca="1" si="150">IF(L328&gt;0,N328*100/L328,0)</f>
        <v>47.84203821656051</v>
      </c>
      <c r="P328" s="992">
        <f t="shared" ref="P328:P336" ca="1" si="151">IF(M328&gt;0,N328*100/M328,0)</f>
        <v>62.463201663201666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157000</v>
      </c>
      <c r="M330" s="887">
        <f t="shared" ca="1" si="152"/>
        <v>120250</v>
      </c>
      <c r="N330" s="887">
        <f t="shared" ca="1" si="152"/>
        <v>75112</v>
      </c>
      <c r="O330" s="887">
        <f t="shared" ca="1" si="150"/>
        <v>47.84203821656051</v>
      </c>
      <c r="P330" s="887">
        <f t="shared" ca="1" si="151"/>
        <v>62.463201663201666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157000</v>
      </c>
      <c r="M331" s="881">
        <f t="shared" ca="1" si="153"/>
        <v>120250</v>
      </c>
      <c r="N331" s="881">
        <f t="shared" ca="1" si="153"/>
        <v>75112</v>
      </c>
      <c r="O331" s="881">
        <f t="shared" ca="1" si="150"/>
        <v>47.84203821656051</v>
      </c>
      <c r="P331" s="881">
        <f t="shared" ca="1" si="151"/>
        <v>62.463201663201666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IFERROR(__xludf.DUMMYFUNCTION("IMPORTRANGE(""https://docs.google.com/spreadsheets/d/1MeEWN-I1oV_STSDYn1IFDPWt_1FKiwhDph83XaGc0o0/edit?usp=sharing"",""งบพรบ!EM87"")"),157000)</f>
        <v>157000</v>
      </c>
      <c r="M333" s="887">
        <f ca="1">IFERROR(__xludf.DUMMYFUNCTION("IMPORTRANGE(""https://docs.google.com/spreadsheets/d/1MeEWN-I1oV_STSDYn1IFDPWt_1FKiwhDph83XaGc0o0/edit?usp=sharing"",""งบพรบ!ER87"")"),120250)</f>
        <v>120250</v>
      </c>
      <c r="N333" s="887">
        <f ca="1">IFERROR(__xludf.DUMMYFUNCTION("IMPORTRANGE(""https://docs.google.com/spreadsheets/d/1MeEWN-I1oV_STSDYn1IFDPWt_1FKiwhDph83XaGc0o0/edit?usp=sharing"",""งบพรบ!ET87"")"),75112)</f>
        <v>75112</v>
      </c>
      <c r="O333" s="887">
        <f t="shared" ca="1" si="150"/>
        <v>47.84203821656051</v>
      </c>
      <c r="P333" s="887">
        <f t="shared" ca="1" si="151"/>
        <v>62.463201663201666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IFERROR(__xludf.DUMMYFUNCTION("IMPORTRANGE(""https://docs.google.com/spreadsheets/d/1MeEWN-I1oV_STSDYn1IFDPWt_1FKiwhDph83XaGc0o0/edit?usp=sharing"",""งบพรบ!EP87"")"),0)</f>
        <v>0</v>
      </c>
      <c r="M336" s="887">
        <f ca="1">IFERROR(__xludf.DUMMYFUNCTION("IMPORTRANGE(""https://docs.google.com/spreadsheets/d/1MeEWN-I1oV_STSDYn1IFDPWt_1FKiwhDph83XaGc0o0/edit?usp=sharing"",""งบพรบ!ES87"")"),0)</f>
        <v>0</v>
      </c>
      <c r="N336" s="887">
        <f ca="1">IFERROR(__xludf.DUMMYFUNCTION("IMPORTRANGE(""https://docs.google.com/spreadsheets/d/1MeEWN-I1oV_STSDYn1IFDPWt_1FKiwhDph83XaGc0o0/edit?usp=sharing"",""งบพรบ!EU87"")"),0)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1528">
        <f ca="1">IFERROR(__xludf.DUMMYFUNCTION("IMPORTRANGE(""https://docs.google.com/spreadsheets/d/1QqKyyYR6Q21VydFLVH3TRQUabQu_ym0Zz7PgGX0-kHA/edit?usp=sharing"",""แผน!EG87"")"),200)</f>
        <v>200</v>
      </c>
      <c r="J338" s="1529">
        <f ca="1">IFERROR(__xludf.DUMMYFUNCTION("IMPORTRANGE(""https://docs.google.com/spreadsheets/d/1kVcqe37tkHyjCSG3S0O1AXqVkqjo8mSIZil3BcpIysc/edit?usp=sharing"",""ศูนย์!D87"")"),163)</f>
        <v>163</v>
      </c>
      <c r="K338" s="1530">
        <f ca="1">IF(I338&gt;0,J338*100/I338,0)</f>
        <v>81.5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1531"/>
      <c r="J339" s="1532"/>
      <c r="K339" s="1533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1534">
        <f ca="1">IFERROR(__xludf.DUMMYFUNCTION("IMPORTRANGE(""https://docs.google.com/spreadsheets/d/1QqKyyYR6Q21VydFLVH3TRQUabQu_ym0Zz7PgGX0-kHA/edit?usp=sharing"",""แผน!EH87"")"),2)</f>
        <v>2</v>
      </c>
      <c r="J340" s="1535">
        <f ca="1">IFERROR(__xludf.DUMMYFUNCTION("IMPORTRANGE(""https://docs.google.com/spreadsheets/d/1kVcqe37tkHyjCSG3S0O1AXqVkqjo8mSIZil3BcpIysc/edit?usp=sharing"",""ศูนย์!E87"")"),2)</f>
        <v>2</v>
      </c>
      <c r="K340" s="1536">
        <f ca="1">IF(I340&gt;0,J340*100/I340,0)</f>
        <v>100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1531"/>
      <c r="J341" s="1535">
        <f ca="1">IFERROR(__xludf.DUMMYFUNCTION("IMPORTRANGE(""https://docs.google.com/spreadsheets/d/1kVcqe37tkHyjCSG3S0O1AXqVkqjo8mSIZil3BcpIysc/edit?usp=sharing"",""ศูนย์!F87"")"),18)</f>
        <v>18</v>
      </c>
      <c r="K341" s="1533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1531"/>
      <c r="J342" s="1535">
        <f ca="1">IFERROR(__xludf.DUMMYFUNCTION("IMPORTRANGE(""https://docs.google.com/spreadsheets/d/1kVcqe37tkHyjCSG3S0O1AXqVkqjo8mSIZil3BcpIysc/edit?usp=sharing"",""ศูนย์!G87"")"),0)</f>
        <v>0</v>
      </c>
      <c r="K342" s="1533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1531"/>
      <c r="J343" s="1535">
        <f ca="1">IFERROR(__xludf.DUMMYFUNCTION("IMPORTRANGE(""https://docs.google.com/spreadsheets/d/1kVcqe37tkHyjCSG3S0O1AXqVkqjo8mSIZil3BcpIysc/edit?usp=sharing"",""ศูนย์!H87"")"),0)</f>
        <v>0</v>
      </c>
      <c r="K343" s="1533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518480</v>
      </c>
      <c r="M345" s="992">
        <f t="shared" ca="1" si="155"/>
        <v>404523</v>
      </c>
      <c r="N345" s="992">
        <f t="shared" ca="1" si="155"/>
        <v>276245.36</v>
      </c>
      <c r="O345" s="992">
        <f t="shared" ref="O345:O353" ca="1" si="156">IF(L345&gt;0,N345*100/L345,0)</f>
        <v>53.279848788767168</v>
      </c>
      <c r="P345" s="992">
        <f t="shared" ref="P345:P353" ca="1" si="157">IF(M345&gt;0,N345*100/M345,0)</f>
        <v>68.289160319685166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518480</v>
      </c>
      <c r="M347" s="887">
        <f t="shared" ca="1" si="158"/>
        <v>404523</v>
      </c>
      <c r="N347" s="887">
        <f t="shared" ca="1" si="158"/>
        <v>276245.36</v>
      </c>
      <c r="O347" s="887">
        <f t="shared" ca="1" si="156"/>
        <v>53.279848788767168</v>
      </c>
      <c r="P347" s="887">
        <f t="shared" ca="1" si="157"/>
        <v>68.289160319685166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442480</v>
      </c>
      <c r="M348" s="881">
        <f t="shared" ca="1" si="159"/>
        <v>328523</v>
      </c>
      <c r="N348" s="881">
        <f t="shared" ca="1" si="159"/>
        <v>200245.36</v>
      </c>
      <c r="O348" s="881">
        <f t="shared" ca="1" si="156"/>
        <v>45.255234134876154</v>
      </c>
      <c r="P348" s="881">
        <f t="shared" ca="1" si="157"/>
        <v>60.953223975185907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IFERROR(__xludf.DUMMYFUNCTION("IMPORTRANGE(""https://docs.google.com/spreadsheets/d/1MeEWN-I1oV_STSDYn1IFDPWt_1FKiwhDph83XaGc0o0/edit?usp=sharing"",""งบพรบ!EW87"")"),442480)</f>
        <v>442480</v>
      </c>
      <c r="M350" s="887">
        <f ca="1">IFERROR(__xludf.DUMMYFUNCTION("IMPORTRANGE(""https://docs.google.com/spreadsheets/d/1MeEWN-I1oV_STSDYn1IFDPWt_1FKiwhDph83XaGc0o0/edit?usp=sharing"",""งบพรบ!FB87"")"),328523)</f>
        <v>328523</v>
      </c>
      <c r="N350" s="887">
        <f ca="1">IFERROR(__xludf.DUMMYFUNCTION("IMPORTRANGE(""https://docs.google.com/spreadsheets/d/1MeEWN-I1oV_STSDYn1IFDPWt_1FKiwhDph83XaGc0o0/edit?usp=sharing"",""งบพรบ!FD87"")"),200245.36)</f>
        <v>200245.36</v>
      </c>
      <c r="O350" s="887">
        <f t="shared" ca="1" si="156"/>
        <v>45.255234134876154</v>
      </c>
      <c r="P350" s="887">
        <f t="shared" ca="1" si="157"/>
        <v>60.953223975185907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76000</v>
      </c>
      <c r="M351" s="881">
        <f t="shared" ca="1" si="160"/>
        <v>76000</v>
      </c>
      <c r="N351" s="881">
        <f t="shared" ca="1" si="160"/>
        <v>76000</v>
      </c>
      <c r="O351" s="881">
        <f t="shared" ca="1" si="156"/>
        <v>100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IFERROR(__xludf.DUMMYFUNCTION("IMPORTRANGE(""https://docs.google.com/spreadsheets/d/1MeEWN-I1oV_STSDYn1IFDPWt_1FKiwhDph83XaGc0o0/edit?usp=sharing"",""งบพรบ!EZ87"")"),76000)</f>
        <v>76000</v>
      </c>
      <c r="M353" s="887">
        <f ca="1">IFERROR(__xludf.DUMMYFUNCTION("IMPORTRANGE(""https://docs.google.com/spreadsheets/d/1MeEWN-I1oV_STSDYn1IFDPWt_1FKiwhDph83XaGc0o0/edit?usp=sharing"",""งบพรบ!FC87"")"),76000)</f>
        <v>76000</v>
      </c>
      <c r="N353" s="887">
        <f ca="1">IFERROR(__xludf.DUMMYFUNCTION("IMPORTRANGE(""https://docs.google.com/spreadsheets/d/1MeEWN-I1oV_STSDYn1IFDPWt_1FKiwhDph83XaGc0o0/edit?usp=sharing"",""งบพรบ!FE87"")"),76000)</f>
        <v>76000</v>
      </c>
      <c r="O353" s="887">
        <f t="shared" ca="1" si="156"/>
        <v>100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IFERROR(__xludf.DUMMYFUNCTION("IMPORTRANGE(""https://docs.google.com/spreadsheets/d/1QqKyyYR6Q21VydFLVH3TRQUabQu_ym0Zz7PgGX0-kHA/edit?usp=sharing"",""แผน!EP87"")"),59)</f>
        <v>59</v>
      </c>
      <c r="J355" s="1206">
        <f ca="1">J362</f>
        <v>51</v>
      </c>
      <c r="K355" s="1207">
        <f ca="1">IF(I355&gt;0,J355*100/I355,0)</f>
        <v>86.440677966101688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IFERROR(__xludf.DUMMYFUNCTION("IMPORTRANGE(""https://docs.google.com/spreadsheets/d/1XWAQStnk-4SwqDmLtmXYiTMKHgktTP8We1SCoS47DrQ/edit?usp=sharing"",""จัดที่ดิน!W87"")"),51)</f>
        <v>51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IFERROR(__xludf.DUMMYFUNCTION("IMPORTRANGE(""https://docs.google.com/spreadsheets/d/1QqKyyYR6Q21VydFLVH3TRQUabQu_ym0Zz7PgGX0-kHA/edit?usp=sharing"",""แผน!EO87"")"),379)</f>
        <v>379</v>
      </c>
      <c r="J359" s="880">
        <f ca="1">IFERROR(__xludf.DUMMYFUNCTION("IMPORTRANGE(""https://docs.google.com/spreadsheets/d/1XWAQStnk-4SwqDmLtmXYiTMKHgktTP8We1SCoS47DrQ/edit?usp=sharing"",""จัดที่ดิน!X87"")"),254.3)</f>
        <v>254.3</v>
      </c>
      <c r="K359" s="881">
        <f t="shared" ca="1" si="161"/>
        <v>67.097625329815301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IFERROR(__xludf.DUMMYFUNCTION("IMPORTRANGE(""https://docs.google.com/spreadsheets/d/1QqKyyYR6Q21VydFLVH3TRQUabQu_ym0Zz7PgGX0-kHA/edit?usp=sharing"",""แผน!EP87"")"),59)</f>
        <v>59</v>
      </c>
      <c r="J360" s="880">
        <f ca="1">IFERROR(__xludf.DUMMYFUNCTION("IMPORTRANGE(""https://docs.google.com/spreadsheets/d/1XWAQStnk-4SwqDmLtmXYiTMKHgktTP8We1SCoS47DrQ/edit?usp=sharing"",""จัดที่ดิน!Y87"")"),51)</f>
        <v>51</v>
      </c>
      <c r="K360" s="881">
        <f t="shared" ca="1" si="161"/>
        <v>86.440677966101688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IFERROR(__xludf.DUMMYFUNCTION("IMPORTRANGE(""https://docs.google.com/spreadsheets/d/1XWAQStnk-4SwqDmLtmXYiTMKHgktTP8We1SCoS47DrQ/edit?usp=sharing"",""จัดที่ดิน!Z87"")"),254.3)</f>
        <v>254.3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IFERROR(__xludf.DUMMYFUNCTION("IMPORTRANGE(""https://docs.google.com/spreadsheets/d/1QqKyyYR6Q21VydFLVH3TRQUabQu_ym0Zz7PgGX0-kHA/edit?usp=sharing"",""แผน!EP87"")"),59)</f>
        <v>59</v>
      </c>
      <c r="J362" s="880">
        <f ca="1">IFERROR(__xludf.DUMMYFUNCTION("IMPORTRANGE(""https://docs.google.com/spreadsheets/d/1XWAQStnk-4SwqDmLtmXYiTMKHgktTP8We1SCoS47DrQ/edit?usp=sharing"",""จัดที่ดิน!AA87"")"),51)</f>
        <v>51</v>
      </c>
      <c r="K362" s="881">
        <f t="shared" ca="1" si="161"/>
        <v>86.440677966101688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IFERROR(__xludf.DUMMYFUNCTION("IMPORTRANGE(""https://docs.google.com/spreadsheets/d/1XWAQStnk-4SwqDmLtmXYiTMKHgktTP8We1SCoS47DrQ/edit?usp=sharing"",""จัดที่ดิน!AB87"")"),254.3)</f>
        <v>254.3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75</v>
      </c>
      <c r="J364" s="1219">
        <f t="shared" ca="1" si="162"/>
        <v>69</v>
      </c>
      <c r="K364" s="1220">
        <f t="shared" ca="1" si="161"/>
        <v>92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IFERROR(__xludf.DUMMYFUNCTION("IMPORTRANGE(""https://docs.google.com/spreadsheets/d/1QqKyyYR6Q21VydFLVH3TRQUabQu_ym0Zz7PgGX0-kHA/edit?usp=sharing"",""แผน!EJ87"")"),35)</f>
        <v>35</v>
      </c>
      <c r="J365" s="1227">
        <f ca="1">J372</f>
        <v>31</v>
      </c>
      <c r="K365" s="1228">
        <f t="shared" ca="1" si="161"/>
        <v>88.571428571428569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IFERROR(__xludf.DUMMYFUNCTION("IMPORTRANGE(""https://docs.google.com/spreadsheets/d/1XWAQStnk-4SwqDmLtmXYiTMKHgktTP8We1SCoS47DrQ/edit?usp=sharing"",""จัดที่ดิน!E87"")"),31)</f>
        <v>31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IFERROR(__xludf.DUMMYFUNCTION("IMPORTRANGE(""https://docs.google.com/spreadsheets/d/1QqKyyYR6Q21VydFLVH3TRQUabQu_ym0Zz7PgGX0-kHA/edit?usp=sharing"",""แผน!EI87"")"),200)</f>
        <v>200</v>
      </c>
      <c r="J369" s="880">
        <f ca="1">IFERROR(__xludf.DUMMYFUNCTION("IMPORTRANGE(""https://docs.google.com/spreadsheets/d/1XWAQStnk-4SwqDmLtmXYiTMKHgktTP8We1SCoS47DrQ/edit?usp=sharing"",""จัดที่ดิน!F87"")"),104.36)</f>
        <v>104.36</v>
      </c>
      <c r="K369" s="881">
        <f t="shared" ca="1" si="163"/>
        <v>52.18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IFERROR(__xludf.DUMMYFUNCTION("IMPORTRANGE(""https://docs.google.com/spreadsheets/d/1QqKyyYR6Q21VydFLVH3TRQUabQu_ym0Zz7PgGX0-kHA/edit?usp=sharing"",""แผน!EJ87"")"),35)</f>
        <v>35</v>
      </c>
      <c r="J370" s="880">
        <f ca="1">IFERROR(__xludf.DUMMYFUNCTION("IMPORTRANGE(""https://docs.google.com/spreadsheets/d/1XWAQStnk-4SwqDmLtmXYiTMKHgktTP8We1SCoS47DrQ/edit?usp=sharing"",""จัดที่ดิน!G87"")"),31)</f>
        <v>31</v>
      </c>
      <c r="K370" s="881">
        <f t="shared" ca="1" si="163"/>
        <v>88.571428571428569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IFERROR(__xludf.DUMMYFUNCTION("IMPORTRANGE(""https://docs.google.com/spreadsheets/d/1XWAQStnk-4SwqDmLtmXYiTMKHgktTP8We1SCoS47DrQ/edit?usp=sharing"",""จัดที่ดิน!H87"")"),104.36)</f>
        <v>104.36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IFERROR(__xludf.DUMMYFUNCTION("IMPORTRANGE(""https://docs.google.com/spreadsheets/d/1QqKyyYR6Q21VydFLVH3TRQUabQu_ym0Zz7PgGX0-kHA/edit?usp=sharing"",""แผน!EJ87"")"),35)</f>
        <v>35</v>
      </c>
      <c r="J372" s="880">
        <f ca="1">IFERROR(__xludf.DUMMYFUNCTION("IMPORTRANGE(""https://docs.google.com/spreadsheets/d/1XWAQStnk-4SwqDmLtmXYiTMKHgktTP8We1SCoS47DrQ/edit?usp=sharing"",""จัดที่ดิน!I87"")"),31)</f>
        <v>31</v>
      </c>
      <c r="K372" s="881">
        <f t="shared" ca="1" si="163"/>
        <v>88.571428571428569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IFERROR(__xludf.DUMMYFUNCTION("IMPORTRANGE(""https://docs.google.com/spreadsheets/d/1XWAQStnk-4SwqDmLtmXYiTMKHgktTP8We1SCoS47DrQ/edit?usp=sharing"",""จัดที่ดิน!J87"")"),104.36)</f>
        <v>104.36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IFERROR(__xludf.DUMMYFUNCTION("IMPORTRANGE(""https://docs.google.com/spreadsheets/d/1QqKyyYR6Q21VydFLVH3TRQUabQu_ym0Zz7PgGX0-kHA/edit?usp=sharing"",""แผน!EU87"")"),40)</f>
        <v>40</v>
      </c>
      <c r="J374" s="1227">
        <f ca="1">J381</f>
        <v>38</v>
      </c>
      <c r="K374" s="1228">
        <f t="shared" ca="1" si="163"/>
        <v>95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IFERROR(__xludf.DUMMYFUNCTION("IMPORTRANGE(""https://docs.google.com/spreadsheets/d/1XWAQStnk-4SwqDmLtmXYiTMKHgktTP8We1SCoS47DrQ/edit?usp=sharing"",""จัดที่ดิน!AH87"")"),20)</f>
        <v>20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IFERROR(__xludf.DUMMYFUNCTION("IMPORTRANGE(""https://docs.google.com/spreadsheets/d/1QqKyyYR6Q21VydFLVH3TRQUabQu_ym0Zz7PgGX0-kHA/edit?usp=sharing"",""แผน!ET87"")"),179)</f>
        <v>179</v>
      </c>
      <c r="J378" s="880">
        <f ca="1">IFERROR(__xludf.DUMMYFUNCTION("IMPORTRANGE(""https://docs.google.com/spreadsheets/d/1XWAQStnk-4SwqDmLtmXYiTMKHgktTP8We1SCoS47DrQ/edit?usp=sharing"",""จัดที่ดิน!AI87"")"),149.94)</f>
        <v>149.94</v>
      </c>
      <c r="K378" s="881">
        <f t="shared" ca="1" si="164"/>
        <v>83.765363128491614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IFERROR(__xludf.DUMMYFUNCTION("IMPORTRANGE(""https://docs.google.com/spreadsheets/d/1QqKyyYR6Q21VydFLVH3TRQUabQu_ym0Zz7PgGX0-kHA/edit?usp=sharing"",""แผน!EU87"")"),40)</f>
        <v>40</v>
      </c>
      <c r="J379" s="880">
        <f ca="1">IFERROR(__xludf.DUMMYFUNCTION("IMPORTRANGE(""https://docs.google.com/spreadsheets/d/1XWAQStnk-4SwqDmLtmXYiTMKHgktTP8We1SCoS47DrQ/edit?usp=sharing"",""จัดที่ดิน!AJ87"")"),38)</f>
        <v>38</v>
      </c>
      <c r="K379" s="881">
        <f t="shared" ca="1" si="164"/>
        <v>95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IFERROR(__xludf.DUMMYFUNCTION("IMPORTRANGE(""https://docs.google.com/spreadsheets/d/1XWAQStnk-4SwqDmLtmXYiTMKHgktTP8We1SCoS47DrQ/edit?usp=sharing"",""จัดที่ดิน!AK87"")"),307.44)</f>
        <v>307.44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IFERROR(__xludf.DUMMYFUNCTION("IMPORTRANGE(""https://docs.google.com/spreadsheets/d/1QqKyyYR6Q21VydFLVH3TRQUabQu_ym0Zz7PgGX0-kHA/edit?usp=sharing"",""แผน!EU87"")"),40)</f>
        <v>40</v>
      </c>
      <c r="J381" s="880">
        <f ca="1">IFERROR(__xludf.DUMMYFUNCTION("IMPORTRANGE(""https://docs.google.com/spreadsheets/d/1XWAQStnk-4SwqDmLtmXYiTMKHgktTP8We1SCoS47DrQ/edit?usp=sharing"",""จัดที่ดิน!AL87"")"),38)</f>
        <v>38</v>
      </c>
      <c r="K381" s="881">
        <f t="shared" ca="1" si="164"/>
        <v>95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IFERROR(__xludf.DUMMYFUNCTION("IMPORTRANGE(""https://docs.google.com/spreadsheets/d/1XWAQStnk-4SwqDmLtmXYiTMKHgktTP8We1SCoS47DrQ/edit?usp=sharing"",""จัดที่ดิน!AM87"")"),307.44)</f>
        <v>307.44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IFERROR(__xludf.DUMMYFUNCTION("IMPORTRANGE(""https://docs.google.com/spreadsheets/d/1QqKyyYR6Q21VydFLVH3TRQUabQu_ym0Zz7PgGX0-kHA/edit?usp=sharing"",""แผน!EW87"")"),5)</f>
        <v>5</v>
      </c>
      <c r="J385" s="1138">
        <f ca="1">IFERROR(__xludf.DUMMYFUNCTION("IMPORTRANGE(""https://docs.google.com/spreadsheets/d/1XWAQStnk-4SwqDmLtmXYiTMKHgktTP8We1SCoS47DrQ/edit?usp=sharing"",""จัดที่ดิน!AP87"")"),0)</f>
        <v>0</v>
      </c>
      <c r="K385" s="1239">
        <f ca="1">IF(I385&gt;0,J385*100/I385,0)</f>
        <v>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IFERROR(__xludf.DUMMYFUNCTION("IMPORTRANGE(""https://docs.google.com/spreadsheets/d/1MeEWN-I1oV_STSDYn1IFDPWt_1FKiwhDph83XaGc0o0/edit?usp=sharing"",""งบพรบ!FG87"")"),0)</f>
        <v>0</v>
      </c>
      <c r="M394" s="887">
        <f ca="1">IFERROR(__xludf.DUMMYFUNCTION("IMPORTRANGE(""https://docs.google.com/spreadsheets/d/1MeEWN-I1oV_STSDYn1IFDPWt_1FKiwhDph83XaGc0o0/edit?usp=sharing"",""งบพรบ!FL87"")"),0)</f>
        <v>0</v>
      </c>
      <c r="N394" s="887">
        <f ca="1">IFERROR(__xludf.DUMMYFUNCTION("IMPORTRANGE(""https://docs.google.com/spreadsheets/d/1MeEWN-I1oV_STSDYn1IFDPWt_1FKiwhDph83XaGc0o0/edit?usp=sharing"",""งบพรบ!FN87"")"),0)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IFERROR(__xludf.DUMMYFUNCTION("IMPORTRANGE(""https://docs.google.com/spreadsheets/d/1MeEWN-I1oV_STSDYn1IFDPWt_1FKiwhDph83XaGc0o0/edit?usp=sharing"",""งบพรบ!FJ87"")"),0)</f>
        <v>0</v>
      </c>
      <c r="M397" s="887">
        <f ca="1">IFERROR(__xludf.DUMMYFUNCTION("IMPORTRANGE(""https://docs.google.com/spreadsheets/d/1MeEWN-I1oV_STSDYn1IFDPWt_1FKiwhDph83XaGc0o0/edit?usp=sharing"",""งบพรบ!FM87"")"),0)</f>
        <v>0</v>
      </c>
      <c r="N397" s="887">
        <f ca="1">IFERROR(__xludf.DUMMYFUNCTION("IMPORTRANGE(""https://docs.google.com/spreadsheets/d/1MeEWN-I1oV_STSDYn1IFDPWt_1FKiwhDph83XaGc0o0/edit?usp=sharing"",""งบพรบ!FO87"")"),0)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IFERROR(__xludf.DUMMYFUNCTION("IMPORTRANGE(""https://docs.google.com/spreadsheets/d/1MeEWN-I1oV_STSDYn1IFDPWt_1FKiwhDph83XaGc0o0/edit?usp=sharing"",""งบพรบ!FQ87"")"),0)</f>
        <v>0</v>
      </c>
      <c r="M407" s="887">
        <f ca="1">IFERROR(__xludf.DUMMYFUNCTION("IMPORTRANGE(""https://docs.google.com/spreadsheets/d/1MeEWN-I1oV_STSDYn1IFDPWt_1FKiwhDph83XaGc0o0/edit?usp=sharing"",""งบพรบ!FV87"")"),0)</f>
        <v>0</v>
      </c>
      <c r="N407" s="887">
        <f ca="1">IFERROR(__xludf.DUMMYFUNCTION("IMPORTRANGE(""https://docs.google.com/spreadsheets/d/1MeEWN-I1oV_STSDYn1IFDPWt_1FKiwhDph83XaGc0o0/edit?usp=sharing"",""งบพรบ!FX87"")"),0)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IFERROR(__xludf.DUMMYFUNCTION("IMPORTRANGE(""https://docs.google.com/spreadsheets/d/1MeEWN-I1oV_STSDYn1IFDPWt_1FKiwhDph83XaGc0o0/edit?usp=sharing"",""งบพรบ!FT87"")"),0)</f>
        <v>0</v>
      </c>
      <c r="M410" s="887">
        <f ca="1">IFERROR(__xludf.DUMMYFUNCTION("IMPORTRANGE(""https://docs.google.com/spreadsheets/d/1MeEWN-I1oV_STSDYn1IFDPWt_1FKiwhDph83XaGc0o0/edit?usp=sharing"",""งบพรบ!FW87"")"),0)</f>
        <v>0</v>
      </c>
      <c r="N410" s="887">
        <f ca="1">IFERROR(__xludf.DUMMYFUNCTION("IMPORTRANGE(""https://docs.google.com/spreadsheets/d/1MeEWN-I1oV_STSDYn1IFDPWt_1FKiwhDph83XaGc0o0/edit?usp=sharing"",""งบพรบ!FY87"")"),0)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447086</v>
      </c>
      <c r="M414" s="1281">
        <f t="shared" ca="1" si="181"/>
        <v>447086</v>
      </c>
      <c r="N414" s="1281">
        <f t="shared" si="181"/>
        <v>220924</v>
      </c>
      <c r="O414" s="1281">
        <f ca="1">IF(L414&gt;0,N414*100/L414,0)</f>
        <v>49.414206662700238</v>
      </c>
      <c r="P414" s="1281">
        <f ca="1">IF(M414&gt;0,N414*100/M414,0)</f>
        <v>49.414206662700238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15</v>
      </c>
      <c r="J417" s="1294">
        <f t="shared" ca="1" si="182"/>
        <v>15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66560</v>
      </c>
      <c r="M419" s="992">
        <f t="shared" ca="1" si="184"/>
        <v>66560</v>
      </c>
      <c r="N419" s="992">
        <f t="shared" si="184"/>
        <v>56574</v>
      </c>
      <c r="O419" s="992">
        <f t="shared" ref="O419:O424" ca="1" si="185">IF(L419&gt;0,N419*100/L419,0)</f>
        <v>84.996995192307693</v>
      </c>
      <c r="P419" s="992">
        <f t="shared" ref="P419:P424" ca="1" si="186">IF(M419&gt;0,N419*100/M419,0)</f>
        <v>84.996995192307693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66560</v>
      </c>
      <c r="M421" s="887">
        <f t="shared" ca="1" si="187"/>
        <v>66560</v>
      </c>
      <c r="N421" s="887">
        <f t="shared" si="187"/>
        <v>56574</v>
      </c>
      <c r="O421" s="887">
        <f t="shared" ca="1" si="185"/>
        <v>84.996995192307693</v>
      </c>
      <c r="P421" s="887">
        <f t="shared" ca="1" si="186"/>
        <v>84.996995192307693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66560</v>
      </c>
      <c r="M422" s="881">
        <f t="shared" ca="1" si="188"/>
        <v>66560</v>
      </c>
      <c r="N422" s="881">
        <f t="shared" si="188"/>
        <v>56574</v>
      </c>
      <c r="O422" s="881">
        <f t="shared" ca="1" si="185"/>
        <v>84.996995192307693</v>
      </c>
      <c r="P422" s="881">
        <f t="shared" ca="1" si="186"/>
        <v>84.996995192307693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IFERROR(__xludf.DUMMYFUNCTION("IMPORTRANGE(""https://docs.google.com/spreadsheets/d/1QqKyyYR6Q21VydFLVH3TRQUabQu_ym0Zz7PgGX0-kHA/edit?usp=sharing"",""แผน!EY87"")"),66560)</f>
        <v>66560</v>
      </c>
      <c r="M424" s="887">
        <f ca="1">L424</f>
        <v>66560</v>
      </c>
      <c r="N424" s="887">
        <f>N425+N426+N427+N428</f>
        <v>56574</v>
      </c>
      <c r="O424" s="887">
        <f t="shared" ca="1" si="185"/>
        <v>84.996995192307693</v>
      </c>
      <c r="P424" s="887">
        <f t="shared" ca="1" si="186"/>
        <v>84.996995192307693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36300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20274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IFERROR(__xludf.DUMMYFUNCTION("IMPORTRANGE(""https://docs.google.com/spreadsheets/d/1QqKyyYR6Q21VydFLVH3TRQUabQu_ym0Zz7PgGX0-kHA/edit?usp=sharing"",""แผน!FB87"")"),0)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15</v>
      </c>
      <c r="J433" s="1019">
        <f ca="1">IF(AND(J435=I435,J437=I437,J439=I439),I437+I439,IF(AND(J435=I437,J437=I437),I437,IF(AND(J435=I439,J439=I439),I439,0)))</f>
        <v>15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IFERROR(__xludf.DUMMYFUNCTION("IMPORTRANGE(""https://docs.google.com/spreadsheets/d/1QqKyyYR6Q21VydFLVH3TRQUabQu_ym0Zz7PgGX0-kHA/edit?usp=sharing"",""แผน!FC87"")"),15)</f>
        <v>15</v>
      </c>
      <c r="J435" s="583">
        <v>15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IFERROR(__xludf.DUMMYFUNCTION("IMPORTRANGE(""https://docs.google.com/spreadsheets/d/1QqKyyYR6Q21VydFLVH3TRQUabQu_ym0Zz7PgGX0-kHA/edit?usp=sharing"",""แผน!FD87"")"),0)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IFERROR(__xludf.DUMMYFUNCTION("IMPORTRANGE(""https://docs.google.com/spreadsheets/d/1QqKyyYR6Q21VydFLVH3TRQUabQu_ym0Zz7PgGX0-kHA/edit?usp=sharing"",""แผน!FE87"")"),0)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IFERROR(__xludf.DUMMYFUNCTION("IMPORTRANGE(""https://docs.google.com/spreadsheets/d/1QqKyyYR6Q21VydFLVH3TRQUabQu_ym0Zz7PgGX0-kHA/edit?usp=sharing"",""แผน!FF87"")"),15)</f>
        <v>15</v>
      </c>
      <c r="J439" s="583">
        <v>15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IFERROR(__xludf.DUMMYFUNCTION("IMPORTRANGE(""https://docs.google.com/spreadsheets/d/1QqKyyYR6Q21VydFLVH3TRQUabQu_ym0Zz7PgGX0-kHA/edit?usp=sharing"",""แผน!FG87"")"),1)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IFERROR(__xludf.DUMMYFUNCTION("IMPORTRANGE(""https://docs.google.com/spreadsheets/d/1QqKyyYR6Q21VydFLVH3TRQUabQu_ym0Zz7PgGX0-kHA/edit?usp=sharing"",""แผน!FH87"")"),0)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 hidden="1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0</v>
      </c>
      <c r="J442" s="1310">
        <f t="shared" si="195"/>
        <v>0</v>
      </c>
      <c r="K442" s="1311">
        <f t="shared" ca="1" si="194"/>
        <v>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 hidden="1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0</v>
      </c>
      <c r="J443" s="1294">
        <f t="shared" si="196"/>
        <v>0</v>
      </c>
      <c r="K443" s="1295">
        <f t="shared" ca="1" si="194"/>
        <v>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 hidden="1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0</v>
      </c>
      <c r="M444" s="1020">
        <f t="shared" si="197"/>
        <v>0</v>
      </c>
      <c r="N444" s="1020">
        <f t="shared" si="197"/>
        <v>0</v>
      </c>
      <c r="O444" s="1020">
        <f t="shared" ref="O444:O449" ca="1" si="198">IF(L444&gt;0,N444*100/L444,0)</f>
        <v>0</v>
      </c>
      <c r="P444" s="1020">
        <f t="shared" ref="P444:P449" si="199">IF(M444&gt;0,N444*100/M444,0)</f>
        <v>0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0</v>
      </c>
      <c r="M446" s="887">
        <f t="shared" si="200"/>
        <v>0</v>
      </c>
      <c r="N446" s="887">
        <f t="shared" si="200"/>
        <v>0</v>
      </c>
      <c r="O446" s="887">
        <f t="shared" ca="1" si="198"/>
        <v>0</v>
      </c>
      <c r="P446" s="887">
        <f t="shared" si="199"/>
        <v>0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 hidden="1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0</v>
      </c>
      <c r="M447" s="881">
        <f t="shared" si="201"/>
        <v>0</v>
      </c>
      <c r="N447" s="881">
        <f t="shared" si="201"/>
        <v>0</v>
      </c>
      <c r="O447" s="881">
        <f t="shared" ca="1" si="198"/>
        <v>0</v>
      </c>
      <c r="P447" s="881">
        <f t="shared" si="199"/>
        <v>0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IFERROR(__xludf.DUMMYFUNCTION("IMPORTRANGE(""https://docs.google.com/spreadsheets/d/1QqKyyYR6Q21VydFLVH3TRQUabQu_ym0Zz7PgGX0-kHA/edit?usp=sharing"",""แผน!FJ87"")"),0)</f>
        <v>0</v>
      </c>
      <c r="M449" s="887">
        <v>0</v>
      </c>
      <c r="N449" s="887">
        <f>N450+N451+N452+N453</f>
        <v>0</v>
      </c>
      <c r="O449" s="887">
        <f t="shared" ca="1" si="198"/>
        <v>0</v>
      </c>
      <c r="P449" s="887">
        <f t="shared" si="199"/>
        <v>0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 hidden="1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 hidden="1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 hidden="1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 hidden="1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 hidden="1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IFERROR(__xludf.DUMMYFUNCTION("IMPORTRANGE(""https://docs.google.com/spreadsheets/d/1QqKyyYR6Q21VydFLVH3TRQUabQu_ym0Zz7PgGX0-kHA/edit?usp=sharing"",""แผน!FM87"")"),0)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 hidden="1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 hidden="1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IFERROR(__xludf.DUMMYFUNCTION("IMPORTRANGE(""https://docs.google.com/spreadsheets/d/1QqKyyYR6Q21VydFLVH3TRQUabQu_ym0Zz7PgGX0-kHA/edit?usp=sharing"",""แผน!FN87"")"),0)</f>
        <v>0</v>
      </c>
      <c r="J460" s="1012">
        <v>0</v>
      </c>
      <c r="K460" s="881">
        <f ca="1">IF(I460&gt;0,J460*100/I460,0)</f>
        <v>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 hidden="1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 hidden="1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IFERROR(__xludf.DUMMYFUNCTION("IMPORTRANGE(""https://docs.google.com/spreadsheets/d/1QqKyyYR6Q21VydFLVH3TRQUabQu_ym0Zz7PgGX0-kHA/edit?usp=sharing"",""แผน!FO87"")"),0)</f>
        <v>0</v>
      </c>
      <c r="J462" s="1012">
        <v>0</v>
      </c>
      <c r="K462" s="881">
        <f ca="1">IF(I462&gt;0,J462*100/I462,0)</f>
        <v>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 hidden="1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IFERROR(__xludf.DUMMYFUNCTION("IMPORTRANGE(""https://docs.google.com/spreadsheets/d/1QqKyyYR6Q21VydFLVH3TRQUabQu_ym0Zz7PgGX0-kHA/edit?usp=sharing"",""แผน!FO87"")"),0)</f>
        <v>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 hidden="1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IFERROR(__xludf.DUMMYFUNCTION("IMPORTRANGE(""https://docs.google.com/spreadsheets/d/1QqKyyYR6Q21VydFLVH3TRQUabQu_ym0Zz7PgGX0-kHA/edit?usp=sharing"",""แผน!FN87"")"),0)</f>
        <v>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IFERROR(__xludf.DUMMYFUNCTION("IMPORTRANGE(""https://docs.google.com/spreadsheets/d/1QqKyyYR6Q21VydFLVH3TRQUabQu_ym0Zz7PgGX0-kHA/edit?usp=sharing"",""แผน!FX87"")"),11)</f>
        <v>11</v>
      </c>
      <c r="J465" s="1310">
        <f>J485+J489+J492</f>
        <v>17</v>
      </c>
      <c r="K465" s="1311">
        <f t="shared" ref="K465:K466" ca="1" si="205">IF(I465&gt;0,J465*100/I465,0)</f>
        <v>154.54545454545453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IFERROR(__xludf.DUMMYFUNCTION("IMPORTRANGE(""https://docs.google.com/spreadsheets/d/1QqKyyYR6Q21VydFLVH3TRQUabQu_ym0Zz7PgGX0-kHA/edit?usp=sharing"",""แผน!FW87"")"),100)</f>
        <v>100</v>
      </c>
      <c r="J466" s="1294">
        <f>J495+J498</f>
        <v>0</v>
      </c>
      <c r="K466" s="1295">
        <f t="shared" ca="1" si="205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113833</v>
      </c>
      <c r="M467" s="1020">
        <f t="shared" ca="1" si="206"/>
        <v>113833</v>
      </c>
      <c r="N467" s="1020">
        <f t="shared" si="206"/>
        <v>36858</v>
      </c>
      <c r="O467" s="1020">
        <f t="shared" ref="O467:O472" ca="1" si="207">IF(L467&gt;0,N467*100/L467,0)</f>
        <v>32.379011358744826</v>
      </c>
      <c r="P467" s="1020">
        <f t="shared" ref="P467:P472" ca="1" si="208">IF(M467&gt;0,N467*100/M467,0)</f>
        <v>32.379011358744826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113833</v>
      </c>
      <c r="M469" s="887">
        <f t="shared" ca="1" si="209"/>
        <v>113833</v>
      </c>
      <c r="N469" s="887">
        <f t="shared" si="209"/>
        <v>36858</v>
      </c>
      <c r="O469" s="887">
        <f t="shared" ca="1" si="207"/>
        <v>32.379011358744826</v>
      </c>
      <c r="P469" s="887">
        <f t="shared" ca="1" si="208"/>
        <v>32.379011358744826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113833</v>
      </c>
      <c r="M470" s="881">
        <f t="shared" ca="1" si="210"/>
        <v>113833</v>
      </c>
      <c r="N470" s="881">
        <f t="shared" si="210"/>
        <v>36858</v>
      </c>
      <c r="O470" s="881">
        <f t="shared" ca="1" si="207"/>
        <v>32.379011358744826</v>
      </c>
      <c r="P470" s="881">
        <f t="shared" ca="1" si="208"/>
        <v>32.379011358744826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IFERROR(__xludf.DUMMYFUNCTION("IMPORTRANGE(""https://docs.google.com/spreadsheets/d/1QqKyyYR6Q21VydFLVH3TRQUabQu_ym0Zz7PgGX0-kHA/edit?usp=sharing"",""แผน!FS87"")"),113833)</f>
        <v>113833</v>
      </c>
      <c r="M472" s="887">
        <f ca="1">L472</f>
        <v>113833</v>
      </c>
      <c r="N472" s="887">
        <f>N473+N474+N475+N476</f>
        <v>36858</v>
      </c>
      <c r="O472" s="887">
        <f t="shared" ca="1" si="207"/>
        <v>32.379011358744826</v>
      </c>
      <c r="P472" s="887">
        <f t="shared" ca="1" si="208"/>
        <v>32.379011358744826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31891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f>1227+3740</f>
        <v>4967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IFERROR(__xludf.DUMMYFUNCTION("IMPORTRANGE(""https://docs.google.com/spreadsheets/d/1QqKyyYR6Q21VydFLVH3TRQUabQu_ym0Zz7PgGX0-kHA/edit?usp=sharing"",""แผน!FV87"")"),0)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IFERROR(__xludf.DUMMYFUNCTION("IMPORTRANGE(""https://docs.google.com/spreadsheets/d/1QqKyyYR6Q21VydFLVH3TRQUabQu_ym0Zz7PgGX0-kHA/edit?usp=sharing"",""แผน!FY87"")"),90)</f>
        <v>90</v>
      </c>
      <c r="J483" s="1012">
        <v>90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0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IFERROR(__xludf.DUMMYFUNCTION("IMPORTRANGE(""https://docs.google.com/spreadsheets/d/1QqKyyYR6Q21VydFLVH3TRQUabQu_ym0Zz7PgGX0-kHA/edit?usp=sharing"",""แผน!FZ87"")"),9)</f>
        <v>9</v>
      </c>
      <c r="J485" s="1012">
        <v>14</v>
      </c>
      <c r="K485" s="881">
        <f ca="1">IF(I485&gt;0,J485*100/I485,0)</f>
        <v>155.55555555555554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IFERROR(__xludf.DUMMYFUNCTION("IMPORTRANGE(""https://docs.google.com/spreadsheets/d/1QqKyyYR6Q21VydFLVH3TRQUabQu_ym0Zz7PgGX0-kHA/edit?usp=sharing"",""แผน!GA87"")"),10)</f>
        <v>10</v>
      </c>
      <c r="J487" s="1012">
        <v>10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0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IFERROR(__xludf.DUMMYFUNCTION("IMPORTRANGE(""https://docs.google.com/spreadsheets/d/1QqKyyYR6Q21VydFLVH3TRQUabQu_ym0Zz7PgGX0-kHA/edit?usp=sharing"",""แผน!GB87"")"),1)</f>
        <v>1</v>
      </c>
      <c r="J489" s="1012">
        <v>2</v>
      </c>
      <c r="K489" s="881">
        <f ca="1">IF(I489&gt;0,J489*100/I489,0)</f>
        <v>200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0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IFERROR(__xludf.DUMMYFUNCTION("IMPORTRANGE(""https://docs.google.com/spreadsheets/d/1QqKyyYR6Q21VydFLVH3TRQUabQu_ym0Zz7PgGX0-kHA/edit?usp=sharing"",""แผน!GC87"")"),1)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IFERROR(__xludf.DUMMYFUNCTION("IMPORTRANGE(""https://docs.google.com/spreadsheets/d/1QqKyyYR6Q21VydFLVH3TRQUabQu_ym0Zz7PgGX0-kHA/edit?usp=sharing"",""แผน!FY87"")"),90)</f>
        <v>90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IFERROR(__xludf.DUMMYFUNCTION("IMPORTRANGE(""https://docs.google.com/spreadsheets/d/1QqKyyYR6Q21VydFLVH3TRQUabQu_ym0Zz7PgGX0-kHA/edit?usp=sharing"",""แผน!GA87"")"),10)</f>
        <v>10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0</v>
      </c>
      <c r="J522" s="1377">
        <f t="shared" ca="1" si="225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0</v>
      </c>
      <c r="M523" s="1020">
        <f t="shared" si="226"/>
        <v>0</v>
      </c>
      <c r="N523" s="1020">
        <f t="shared" si="226"/>
        <v>0</v>
      </c>
      <c r="O523" s="1020">
        <f t="shared" ref="O523:O528" ca="1" si="227">IF(L523&gt;0,N523*100/L523,0)</f>
        <v>0</v>
      </c>
      <c r="P523" s="1020">
        <f t="shared" ref="P523:P528" si="228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0</v>
      </c>
      <c r="M525" s="887">
        <f t="shared" si="229"/>
        <v>0</v>
      </c>
      <c r="N525" s="887">
        <f t="shared" si="229"/>
        <v>0</v>
      </c>
      <c r="O525" s="887">
        <f t="shared" ca="1" si="227"/>
        <v>0</v>
      </c>
      <c r="P525" s="887">
        <f t="shared" si="228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0</v>
      </c>
      <c r="M526" s="881">
        <f t="shared" si="230"/>
        <v>0</v>
      </c>
      <c r="N526" s="881">
        <f t="shared" si="230"/>
        <v>0</v>
      </c>
      <c r="O526" s="881">
        <f t="shared" ca="1" si="227"/>
        <v>0</v>
      </c>
      <c r="P526" s="881">
        <f t="shared" si="228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IFERROR(__xludf.DUMMYFUNCTION("IMPORTRANGE(""https://docs.google.com/spreadsheets/d/1QqKyyYR6Q21VydFLVH3TRQUabQu_ym0Zz7PgGX0-kHA/edit?usp=sharing"",""แผน!GQ87"")"),0)</f>
        <v>0</v>
      </c>
      <c r="M528" s="887">
        <v>0</v>
      </c>
      <c r="N528" s="887">
        <f>N529+N530+N531+N532</f>
        <v>0</v>
      </c>
      <c r="O528" s="887">
        <f t="shared" ca="1" si="227"/>
        <v>0</v>
      </c>
      <c r="P528" s="887">
        <f t="shared" si="228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IFERROR(__xludf.DUMMYFUNCTION("IMPORTRANGE(""https://docs.google.com/spreadsheets/d/1QqKyyYR6Q21VydFLVH3TRQUabQu_ym0Zz7PgGX0-kHA/edit?usp=sharing"",""แผน!GT87"")"),0)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IFERROR(__xludf.DUMMYFUNCTION("IMPORTRANGE(""https://docs.google.com/spreadsheets/d/1QqKyyYR6Q21VydFLVH3TRQUabQu_ym0Zz7PgGX0-kHA/edit?usp=sharing"",""แผน!GU87"")"),0)</f>
        <v>0</v>
      </c>
      <c r="J537" s="1019">
        <f ca="1">IF(AND(J538=I538,J539=I539,J540=I540,J541=I541),I537,0)</f>
        <v>0</v>
      </c>
      <c r="K537" s="881">
        <f t="shared" ref="K537:K543" ca="1" si="234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IFERROR(__xludf.DUMMYFUNCTION("IMPORTRANGE(""https://docs.google.com/spreadsheets/d/1QqKyyYR6Q21VydFLVH3TRQUabQu_ym0Zz7PgGX0-kHA/edit?usp=sharing"",""แผน!GV87"")"),0)</f>
        <v>0</v>
      </c>
      <c r="J538" s="1012">
        <v>0</v>
      </c>
      <c r="K538" s="881">
        <f t="shared" ca="1" si="234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IFERROR(__xludf.DUMMYFUNCTION("IMPORTRANGE(""https://docs.google.com/spreadsheets/d/1QqKyyYR6Q21VydFLVH3TRQUabQu_ym0Zz7PgGX0-kHA/edit?usp=sharing"",""แผน!GW87"")"),0)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IFERROR(__xludf.DUMMYFUNCTION("IMPORTRANGE(""https://docs.google.com/spreadsheets/d/1QqKyyYR6Q21VydFLVH3TRQUabQu_ym0Zz7PgGX0-kHA/edit?usp=sharing"",""แผน!GX87"")"),0)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IFERROR(__xludf.DUMMYFUNCTION("IMPORTRANGE(""https://docs.google.com/spreadsheets/d/1QqKyyYR6Q21VydFLVH3TRQUabQu_ym0Zz7PgGX0-kHA/edit?usp=sharing"",""แผน!GY87"")"),0)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IFERROR(__xludf.DUMMYFUNCTION("IMPORTRANGE(""https://docs.google.com/spreadsheets/d/1QqKyyYR6Q21VydFLVH3TRQUabQu_ym0Zz7PgGX0-kHA/edit?usp=sharing"",""แผน!GZ87"")"),0)</f>
        <v>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10513</v>
      </c>
      <c r="J543" s="1384">
        <f t="shared" si="235"/>
        <v>10513</v>
      </c>
      <c r="K543" s="1385">
        <f t="shared" ca="1" si="234"/>
        <v>100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266693</v>
      </c>
      <c r="M544" s="992">
        <f t="shared" ca="1" si="236"/>
        <v>266693</v>
      </c>
      <c r="N544" s="992">
        <f t="shared" si="236"/>
        <v>127492</v>
      </c>
      <c r="O544" s="992">
        <f t="shared" ref="O544:O549" ca="1" si="237">IF(L544&gt;0,N544*100/L544,0)</f>
        <v>47.80477927804629</v>
      </c>
      <c r="P544" s="992">
        <f t="shared" ref="P544:P549" ca="1" si="238">IF(M544&gt;0,N544*100/M544,0)</f>
        <v>47.80477927804629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266693</v>
      </c>
      <c r="M546" s="887">
        <f t="shared" ca="1" si="240"/>
        <v>266693</v>
      </c>
      <c r="N546" s="887">
        <f t="shared" si="240"/>
        <v>127492</v>
      </c>
      <c r="O546" s="887">
        <f t="shared" ca="1" si="237"/>
        <v>47.80477927804629</v>
      </c>
      <c r="P546" s="887">
        <f t="shared" ca="1" si="238"/>
        <v>47.80477927804629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266693</v>
      </c>
      <c r="M547" s="881">
        <f t="shared" ca="1" si="241"/>
        <v>266693</v>
      </c>
      <c r="N547" s="881">
        <f t="shared" si="241"/>
        <v>127492</v>
      </c>
      <c r="O547" s="881">
        <f t="shared" ca="1" si="237"/>
        <v>47.80477927804629</v>
      </c>
      <c r="P547" s="881">
        <f t="shared" ca="1" si="238"/>
        <v>47.80477927804629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IFERROR(__xludf.DUMMYFUNCTION("IMPORTRANGE(""https://docs.google.com/spreadsheets/d/1QqKyyYR6Q21VydFLVH3TRQUabQu_ym0Zz7PgGX0-kHA/edit?usp=sharing"",""แผน!HB87"")"),266693)</f>
        <v>266693</v>
      </c>
      <c r="M549" s="887">
        <f ca="1">L549</f>
        <v>266693</v>
      </c>
      <c r="N549" s="887">
        <f>N550+N551+N552+N553+N554</f>
        <v>127492</v>
      </c>
      <c r="O549" s="887">
        <f t="shared" ca="1" si="237"/>
        <v>47.80477927804629</v>
      </c>
      <c r="P549" s="887">
        <f t="shared" ca="1" si="238"/>
        <v>47.80477927804629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f>37727+13000</f>
        <v>50727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f>46650+26815+3000+300</f>
        <v>76765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IFERROR(__xludf.DUMMYFUNCTION("IMPORTRANGE(""https://docs.google.com/spreadsheets/d/1QqKyyYR6Q21VydFLVH3TRQUabQu_ym0Zz7PgGX0-kHA/edit?usp=sharing"",""แผน!HF87"")"),0)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10513</v>
      </c>
      <c r="J559" s="1377">
        <f t="shared" si="245"/>
        <v>10513</v>
      </c>
      <c r="K559" s="1378">
        <f t="shared" ref="K559:K561" ca="1" si="246">IF(I559&gt;0,J559*100/I559,0)</f>
        <v>100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IFERROR(__xludf.DUMMYFUNCTION("IMPORTRANGE(""https://docs.google.com/spreadsheets/d/1QqKyyYR6Q21VydFLVH3TRQUabQu_ym0Zz7PgGX0-kHA/edit?usp=sharing"",""แผน!HH87"")"),10513)</f>
        <v>10513</v>
      </c>
      <c r="J560" s="1018">
        <f t="shared" ref="J560:J561" si="247">J562+J564+J566</f>
        <v>10513</v>
      </c>
      <c r="K560" s="1162">
        <f t="shared" ca="1" si="246"/>
        <v>100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IFERROR(__xludf.DUMMYFUNCTION("IMPORTRANGE(""https://docs.google.com/spreadsheets/d/1QqKyyYR6Q21VydFLVH3TRQUabQu_ym0Zz7PgGX0-kHA/edit?usp=sharing"",""แผน!HG87"")"),1831)</f>
        <v>1831</v>
      </c>
      <c r="J561" s="1018">
        <f t="shared" si="247"/>
        <v>1831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9992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1746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317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50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204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35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IFERROR(__xludf.DUMMYFUNCTION("IMPORTRANGE(""https://docs.google.com/spreadsheets/d/1QqKyyYR6Q21VydFLVH3TRQUabQu_ym0Zz7PgGX0-kHA/edit?usp=sharing"",""แผน!HH87"")"),10513)</f>
        <v>10513</v>
      </c>
      <c r="J568" s="1019">
        <f t="shared" ref="J568:J569" si="248">J570+J572+J574</f>
        <v>10513</v>
      </c>
      <c r="K568" s="1162">
        <f t="shared" ref="K568:K569" ca="1" si="249">IF(I568&gt;0,J568*100/I568,0)</f>
        <v>100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IFERROR(__xludf.DUMMYFUNCTION("IMPORTRANGE(""https://docs.google.com/spreadsheets/d/1QqKyyYR6Q21VydFLVH3TRQUabQu_ym0Zz7PgGX0-kHA/edit?usp=sharing"",""แผน!HG87"")"),1831)</f>
        <v>1831</v>
      </c>
      <c r="J569" s="1019">
        <f t="shared" si="248"/>
        <v>1831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10055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1758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199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29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259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44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IFERROR(__xludf.DUMMYFUNCTION("IMPORTRANGE(""https://docs.google.com/spreadsheets/d/1QqKyyYR6Q21VydFLVH3TRQUabQu_ym0Zz7PgGX0-kHA/edit?usp=sharing"",""แผน!HH87"")"),10513)</f>
        <v>10513</v>
      </c>
      <c r="J576" s="1019">
        <f t="shared" ref="J576:J577" si="250">J578+J580+J582+J588+J590</f>
        <v>10513</v>
      </c>
      <c r="K576" s="1162">
        <f t="shared" ref="K576:K577" ca="1" si="251">IF(I576&gt;0,J576*100/I576,0)</f>
        <v>100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IFERROR(__xludf.DUMMYFUNCTION("IMPORTRANGE(""https://docs.google.com/spreadsheets/d/1QqKyyYR6Q21VydFLVH3TRQUabQu_ym0Zz7PgGX0-kHA/edit?usp=sharing"",""แผน!HG87"")"),1831)</f>
        <v>1831</v>
      </c>
      <c r="J577" s="1019">
        <f t="shared" si="250"/>
        <v>1831</v>
      </c>
      <c r="K577" s="1162">
        <f t="shared" ca="1" si="251"/>
        <v>100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10055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1758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199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29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259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44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259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44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414.92</v>
      </c>
      <c r="J592" s="1377">
        <f t="shared" si="253"/>
        <v>1</v>
      </c>
      <c r="K592" s="1378">
        <f t="shared" ref="K592:K594" ca="1" si="254">IF(I592&gt;0,J592*100/I592,0)</f>
        <v>0.24101031524149233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IFERROR(__xludf.DUMMYFUNCTION("IMPORTRANGE(""https://docs.google.com/spreadsheets/d/1QqKyyYR6Q21VydFLVH3TRQUabQu_ym0Zz7PgGX0-kHA/edit?usp=sharing"",""แผน!HJ87"")"),414.92)</f>
        <v>414.92</v>
      </c>
      <c r="J593" s="1018">
        <f t="shared" ref="J593:J594" si="255">J595+J603+J609</f>
        <v>1</v>
      </c>
      <c r="K593" s="1162">
        <f t="shared" ca="1" si="254"/>
        <v>0.24101031524149233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IFERROR(__xludf.DUMMYFUNCTION("IMPORTRANGE(""https://docs.google.com/spreadsheets/d/1QqKyyYR6Q21VydFLVH3TRQUabQu_ym0Zz7PgGX0-kHA/edit?usp=sharing"",""แผน!HI87"")"),44)</f>
        <v>44</v>
      </c>
      <c r="J594" s="1018">
        <f t="shared" si="255"/>
        <v>5</v>
      </c>
      <c r="K594" s="1162">
        <f t="shared" ca="1" si="254"/>
        <v>11.363636363636363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1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5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1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5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IFERROR(__xludf.DUMMYFUNCTION("IMPORTRANGE(""https://docs.google.com/spreadsheets/d/1QqKyyYR6Q21VydFLVH3TRQUabQu_ym0Zz7PgGX0-kHA/edit?usp=sharing"",""แผน!HL87"")"),0)</f>
        <v>0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IFERROR(__xludf.DUMMYFUNCTION("IMPORTRANGE(""https://docs.google.com/spreadsheets/d/1QqKyyYR6Q21VydFLVH3TRQUabQu_ym0Zz7PgGX0-kHA/edit?usp=sharing"",""แผน!HK87"")"),0)</f>
        <v>0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 hidden="1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 hidden="1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0</v>
      </c>
      <c r="M629" s="1020">
        <f t="shared" si="263"/>
        <v>0</v>
      </c>
      <c r="N629" s="1020">
        <f t="shared" si="263"/>
        <v>0</v>
      </c>
      <c r="O629" s="1020">
        <f t="shared" ref="O629:O634" ca="1" si="264">IF(L629&gt;0,N629*100/L629,0)</f>
        <v>0</v>
      </c>
      <c r="P629" s="1020">
        <f t="shared" ref="P629:P634" si="265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0</v>
      </c>
      <c r="M631" s="887">
        <f t="shared" si="266"/>
        <v>0</v>
      </c>
      <c r="N631" s="887">
        <f t="shared" si="266"/>
        <v>0</v>
      </c>
      <c r="O631" s="887">
        <f t="shared" ca="1" si="264"/>
        <v>0</v>
      </c>
      <c r="P631" s="887">
        <f t="shared" si="265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 hidden="1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0</v>
      </c>
      <c r="M632" s="881">
        <f t="shared" si="267"/>
        <v>0</v>
      </c>
      <c r="N632" s="881">
        <f t="shared" si="267"/>
        <v>0</v>
      </c>
      <c r="O632" s="881">
        <f t="shared" ca="1" si="264"/>
        <v>0</v>
      </c>
      <c r="P632" s="881">
        <f t="shared" si="265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IFERROR(__xludf.DUMMYFUNCTION("IMPORTRANGE(""https://docs.google.com/spreadsheets/d/1QqKyyYR6Q21VydFLVH3TRQUabQu_ym0Zz7PgGX0-kHA/edit?usp=sharing"",""แผน!HN87"")"),0)</f>
        <v>0</v>
      </c>
      <c r="M634" s="887">
        <v>0</v>
      </c>
      <c r="N634" s="887">
        <f>N635+N636+N637+N638</f>
        <v>0</v>
      </c>
      <c r="O634" s="887">
        <f t="shared" ca="1" si="264"/>
        <v>0</v>
      </c>
      <c r="P634" s="887">
        <f t="shared" si="265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 hidden="1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 hidden="1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 hidden="1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 hidden="1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 hidden="1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IFERROR(__xludf.DUMMYFUNCTION("IMPORTRANGE(""https://docs.google.com/spreadsheets/d/1QqKyyYR6Q21VydFLVH3TRQUabQu_ym0Zz7PgGX0-kHA/edit?usp=sharing"",""แผน!HQ87"")"),0)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 hidden="1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 hidden="1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IFERROR(__xludf.DUMMYFUNCTION("IMPORTRANGE(""https://docs.google.com/spreadsheets/d/1QqKyyYR6Q21VydFLVH3TRQUabQu_ym0Zz7PgGX0-kHA/edit?usp=sharing"",""แผน!HR87"")"),0)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 hidden="1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IFERROR(__xludf.DUMMYFUNCTION("IMPORTRANGE(""https://docs.google.com/spreadsheets/d/1QqKyyYR6Q21VydFLVH3TRQUabQu_ym0Zz7PgGX0-kHA/edit?usp=sharing"",""แผน!HR87"")"),0)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 hidden="1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IFERROR(__xludf.DUMMYFUNCTION("IMPORTRANGE(""https://docs.google.com/spreadsheets/d/1XWAQStnk-4SwqDmLtmXYiTMKHgktTP8We1SCoS47DrQ/edit?usp=sharing"",""จัดที่ดิน!AS87"")"),0)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 hidden="1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IFERROR(__xludf.DUMMYFUNCTION("IMPORTRANGE(""https://docs.google.com/spreadsheets/d/1XWAQStnk-4SwqDmLtmXYiTMKHgktTP8We1SCoS47DrQ/edit?usp=sharing"",""จัดที่ดิน!AT87"")"),0)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 hidden="1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IFERROR(__xludf.DUMMYFUNCTION("IMPORTRANGE(""https://docs.google.com/spreadsheets/d/1QqKyyYR6Q21VydFLVH3TRQUabQu_ym0Zz7PgGX0-kHA/edit?usp=sharing"",""แผน!HS87"")"),0)</f>
        <v>0</v>
      </c>
      <c r="J647" s="880">
        <f ca="1">IFERROR(__xludf.DUMMYFUNCTION("IMPORTRANGE(""https://docs.google.com/spreadsheets/d/1XWAQStnk-4SwqDmLtmXYiTMKHgktTP8We1SCoS47DrQ/edit?usp=sharing"",""จัดที่ดิน!AU87"")"),0)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 hidden="1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IFERROR(__xludf.DUMMYFUNCTION("IMPORTRANGE(""https://docs.google.com/spreadsheets/d/1XWAQStnk-4SwqDmLtmXYiTMKHgktTP8We1SCoS47DrQ/edit?usp=sharing"",""จัดที่ดิน!AV87"")"),0)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 hidden="1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IFERROR(__xludf.DUMMYFUNCTION("IMPORTRANGE(""https://docs.google.com/spreadsheets/d/1QqKyyYR6Q21VydFLVH3TRQUabQu_ym0Zz7PgGX0-kHA/edit?usp=sharing"",""แผน!HS87"")"),0)</f>
        <v>0</v>
      </c>
      <c r="J649" s="880">
        <f ca="1">IFERROR(__xludf.DUMMYFUNCTION("IMPORTRANGE(""https://docs.google.com/spreadsheets/d/1XWAQStnk-4SwqDmLtmXYiTMKHgktTP8We1SCoS47DrQ/edit?usp=sharing"",""จัดที่ดิน!AW87"")"),0)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 hidden="1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IFERROR(__xludf.DUMMYFUNCTION("IMPORTRANGE(""https://docs.google.com/spreadsheets/d/1XWAQStnk-4SwqDmLtmXYiTMKHgktTP8We1SCoS47DrQ/edit?usp=sharing"",""จัดที่ดิน!AX87"")"),0)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 hidden="1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IFERROR(__xludf.DUMMYFUNCTION("IMPORTRANGE(""https://docs.google.com/spreadsheets/d/1QqKyyYR6Q21VydFLVH3TRQUabQu_ym0Zz7PgGX0-kHA/edit?usp=sharing"",""แผน!HS87"")"),0)</f>
        <v>0</v>
      </c>
      <c r="J651" s="880">
        <f ca="1">IFERROR(__xludf.DUMMYFUNCTION("IMPORTRANGE(""https://docs.google.com/spreadsheets/d/1XWAQStnk-4SwqDmLtmXYiTMKHgktTP8We1SCoS47DrQ/edit?usp=sharing"",""จัดที่ดิน!AY87"")"),0)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 hidden="1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IFERROR(__xludf.DUMMYFUNCTION("IMPORTRANGE(""https://docs.google.com/spreadsheets/d/1XWAQStnk-4SwqDmLtmXYiTMKHgktTP8We1SCoS47DrQ/edit?usp=sharing"",""จัดที่ดิน!AZ87"")"),0)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 hidden="1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0</v>
      </c>
      <c r="M655" s="1020">
        <f t="shared" si="273"/>
        <v>0</v>
      </c>
      <c r="N655" s="1020">
        <f t="shared" si="273"/>
        <v>0</v>
      </c>
      <c r="O655" s="1020">
        <f t="shared" ref="O655:O660" ca="1" si="274">IF(L655&gt;0,N655*100/L655,0)</f>
        <v>0</v>
      </c>
      <c r="P655" s="1020">
        <f t="shared" ref="P655:P660" si="275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0</v>
      </c>
      <c r="M657" s="887">
        <f t="shared" si="276"/>
        <v>0</v>
      </c>
      <c r="N657" s="887">
        <f t="shared" si="276"/>
        <v>0</v>
      </c>
      <c r="O657" s="887">
        <f t="shared" ca="1" si="274"/>
        <v>0</v>
      </c>
      <c r="P657" s="887">
        <f t="shared" si="275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0</v>
      </c>
      <c r="M658" s="881">
        <f t="shared" si="277"/>
        <v>0</v>
      </c>
      <c r="N658" s="881">
        <f t="shared" si="277"/>
        <v>0</v>
      </c>
      <c r="O658" s="881">
        <f t="shared" ca="1" si="274"/>
        <v>0</v>
      </c>
      <c r="P658" s="881">
        <f t="shared" si="275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IFERROR(__xludf.DUMMYFUNCTION("IMPORTRANGE(""https://docs.google.com/spreadsheets/d/1QqKyyYR6Q21VydFLVH3TRQUabQu_ym0Zz7PgGX0-kHA/edit?usp=sharing"",""แผน!HV87"")"),0)</f>
        <v>0</v>
      </c>
      <c r="M660" s="887">
        <v>0</v>
      </c>
      <c r="N660" s="887">
        <f>N661+N662+N663+N664</f>
        <v>0</v>
      </c>
      <c r="O660" s="887">
        <f t="shared" ca="1" si="274"/>
        <v>0</v>
      </c>
      <c r="P660" s="887">
        <f t="shared" si="275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IFERROR(__xludf.DUMMYFUNCTION("IMPORTRANGE(""https://docs.google.com/spreadsheets/d/1QqKyyYR6Q21VydFLVH3TRQUabQu_ym0Zz7PgGX0-kHA/edit?usp=sharing"",""แผน!IA87"")"),0)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IFERROR(__xludf.DUMMYFUNCTION("IMPORTRANGE(""https://docs.google.com/spreadsheets/d/1QqKyyYR6Q21VydFLVH3TRQUabQu_ym0Zz7PgGX0-kHA/edit?usp=sharing"",""แผน!HZ87"")"),0)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IFERROR(__xludf.DUMMYFUNCTION("IMPORTRANGE(""https://docs.google.com/spreadsheets/d/1QqKyyYR6Q21VydFLVH3TRQUabQu_ym0Zz7PgGX0-kHA/edit?usp=sharing"",""แผน!HZ87"")"),0)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IFERROR(__xludf.DUMMYFUNCTION("IMPORTRANGE(""https://docs.google.com/spreadsheets/d/1QqKyyYR6Q21VydFLVH3TRQUabQu_ym0Zz7PgGX0-kHA/edit?usp=sharing"",""แผน!IB87"")"),0)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IFERROR(__xludf.DUMMYFUNCTION("IMPORTRANGE(""https://docs.google.com/spreadsheets/d/1QqKyyYR6Q21VydFLVH3TRQUabQu_ym0Zz7PgGX0-kHA/edit?usp=sharing"",""แผน!HW87"")"),0)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IFERROR(__xludf.DUMMYFUNCTION("IMPORTRANGE(""https://docs.google.com/spreadsheets/d/1QqKyyYR6Q21VydFLVH3TRQUabQu_ym0Zz7PgGX0-kHA/edit?usp=sharing"",""แผน!IC87"")"),0)</f>
        <v>0</v>
      </c>
      <c r="J699" s="880">
        <f ca="1">IFERROR(__xludf.DUMMYFUNCTION("IMPORTRANGE(""https://docs.google.com/spreadsheets/d/1XWAQStnk-4SwqDmLtmXYiTMKHgktTP8We1SCoS47DrQ/edit?usp=sharing"",""จัดที่ดิน!BB87"")"),0)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IFERROR(__xludf.DUMMYFUNCTION("IMPORTRANGE(""https://docs.google.com/spreadsheets/d/1QqKyyYR6Q21VydFLVH3TRQUabQu_ym0Zz7PgGX0-kHA/edit?usp=sharing"",""แผน!ID87"")"),0)</f>
        <v>0</v>
      </c>
      <c r="J700" s="880">
        <f ca="1">IFERROR(__xludf.DUMMYFUNCTION("IMPORTRANGE(""https://docs.google.com/spreadsheets/d/1XWAQStnk-4SwqDmLtmXYiTMKHgktTP8We1SCoS47DrQ/edit?usp=sharing"",""จัดที่ดิน!BD87"")"),0)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IFERROR(__xludf.DUMMYFUNCTION("IMPORTRANGE(""https://docs.google.com/spreadsheets/d/1QqKyyYR6Q21VydFLVH3TRQUabQu_ym0Zz7PgGX0-kHA/edit?usp=sharing"",""แผน!IE87"")"),0)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IFERROR(__xludf.DUMMYFUNCTION("IMPORTRANGE(""https://docs.google.com/spreadsheets/d/1QqKyyYR6Q21VydFLVH3TRQUabQu_ym0Zz7PgGX0-kHA/edit?usp=sharing"",""แผน!IF87"")"),0)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IFERROR(__xludf.DUMMYFUNCTION("IMPORTRANGE(""https://docs.google.com/spreadsheets/d/1QqKyyYR6Q21VydFLVH3TRQUabQu_ym0Zz7PgGX0-kHA/edit?usp=sharing"",""แผน!IG87"")"),0)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IFERROR(__xludf.DUMMYFUNCTION("IMPORTRANGE(""https://docs.google.com/spreadsheets/d/1QqKyyYR6Q21VydFLVH3TRQUabQu_ym0Zz7PgGX0-kHA/edit?usp=sharing"",""แผน!IH87"")"),0)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IFERROR(__xludf.DUMMYFUNCTION("IMPORTRANGE(""https://docs.google.com/spreadsheets/d/1XWAQStnk-4SwqDmLtmXYiTMKHgktTP8We1SCoS47DrQ/edit?usp=sharing"",""จัดที่ดิน!BF87"")"),0)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IFERROR(__xludf.DUMMYFUNCTION("IMPORTRANGE(""https://docs.google.com/spreadsheets/d/1XWAQStnk-4SwqDmLtmXYiTMKHgktTP8We1SCoS47DrQ/edit?usp=sharing"",""จัดที่ดิน!BG87"")"),0)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IFERROR(__xludf.DUMMYFUNCTION("IMPORTRANGE(""https://docs.google.com/spreadsheets/d/1QqKyyYR6Q21VydFLVH3TRQUabQu_ym0Zz7PgGX0-kHA/edit?usp=sharing"",""แผน!II87"")"),0)</f>
        <v>0</v>
      </c>
      <c r="J720" s="880">
        <f ca="1">IFERROR(__xludf.DUMMYFUNCTION("IMPORTRANGE(""https://docs.google.com/spreadsheets/d/1XWAQStnk-4SwqDmLtmXYiTMKHgktTP8We1SCoS47DrQ/edit?usp=sharing"",""จัดที่ดิน!BH87"")"),0)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IFERROR(__xludf.DUMMYFUNCTION("IMPORTRANGE(""https://docs.google.com/spreadsheets/d/1QqKyyYR6Q21VydFLVH3TRQUabQu_ym0Zz7PgGX0-kHA/edit?usp=sharing"",""แผน!IJ87"")"),0)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IFERROR(__xludf.DUMMYFUNCTION("IMPORTRANGE(""https://docs.google.com/spreadsheets/d/1QqKyyYR6Q21VydFLVH3TRQUabQu_ym0Zz7PgGX0-kHA/edit?usp=sharing"",""แผน!IK87"")"),0)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IFERROR(__xludf.DUMMYFUNCTION("IMPORTRANGE(""https://docs.google.com/spreadsheets/d/1QqKyyYR6Q21VydFLVH3TRQUabQu_ym0Zz7PgGX0-kHA/edit?usp=sharing"",""แผน!IL87"")"),0)</f>
        <v>0</v>
      </c>
      <c r="J723" s="880">
        <f ca="1">IFERROR(__xludf.DUMMYFUNCTION("IMPORTRANGE(""https://docs.google.com/spreadsheets/d/1XWAQStnk-4SwqDmLtmXYiTMKHgktTP8We1SCoS47DrQ/edit?usp=sharing"",""จัดที่ดิน!BM87"")"),0)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IFERROR(__xludf.DUMMYFUNCTION("IMPORTRANGE(""https://docs.google.com/spreadsheets/d/1XWAQStnk-4SwqDmLtmXYiTMKHgktTP8We1SCoS47DrQ/edit?usp=sharing"",""จัดที่ดิน!BN87"")"),0)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IFERROR(__xludf.DUMMYFUNCTION("IMPORTRANGE(""https://docs.google.com/spreadsheets/d/1QqKyyYR6Q21VydFLVH3TRQUabQu_ym0Zz7PgGX0-kHA/edit?usp=sharing"",""แผน!IM87"")"),0)</f>
        <v>0</v>
      </c>
      <c r="J725" s="880">
        <f ca="1">IFERROR(__xludf.DUMMYFUNCTION("IMPORTRANGE(""https://docs.google.com/spreadsheets/d/1XWAQStnk-4SwqDmLtmXYiTMKHgktTP8We1SCoS47DrQ/edit?usp=sharing"",""จัดที่ดิน!BO87"")"),0)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IFERROR(__xludf.DUMMYFUNCTION("IMPORTRANGE(""https://docs.google.com/spreadsheets/d/1QqKyyYR6Q21VydFLVH3TRQUabQu_ym0Zz7PgGX0-kHA/edit?usp=sharing"",""แผน!IN87"")"),0)</f>
        <v>0</v>
      </c>
      <c r="J726" s="880">
        <f ca="1">IFERROR(__xludf.DUMMYFUNCTION("IMPORTRANGE(""https://docs.google.com/spreadsheets/d/1XWAQStnk-4SwqDmLtmXYiTMKHgktTP8We1SCoS47DrQ/edit?usp=sharing"",""จัดที่ดิน!BR87"")"),0)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IFERROR(__xludf.DUMMYFUNCTION("IMPORTRANGE(""https://docs.google.com/spreadsheets/d/1XWAQStnk-4SwqDmLtmXYiTMKHgktTP8We1SCoS47DrQ/edit?usp=sharing"",""จัดที่ดิน!BS87"")"),0)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IFERROR(__xludf.DUMMYFUNCTION("IMPORTRANGE(""https://docs.google.com/spreadsheets/d/1QqKyyYR6Q21VydFLVH3TRQUabQu_ym0Zz7PgGX0-kHA/edit?usp=sharing"",""แผน!IO87"")"),0)</f>
        <v>0</v>
      </c>
      <c r="J728" s="880">
        <f ca="1">IFERROR(__xludf.DUMMYFUNCTION("IMPORTRANGE(""https://docs.google.com/spreadsheets/d/1XWAQStnk-4SwqDmLtmXYiTMKHgktTP8We1SCoS47DrQ/edit?usp=sharing"",""จัดที่ดิน!BT87"")"),0)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IFERROR(__xludf.DUMMYFUNCTION("IMPORTRANGE(""https://docs.google.com/spreadsheets/d/1QqKyyYR6Q21VydFLVH3TRQUabQu_ym0Zz7PgGX0-kHA/edit?usp=sharing"",""แผน!IP87"")"),0)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IFERROR(__xludf.DUMMYFUNCTION("IMPORTRANGE(""https://docs.google.com/spreadsheets/d/1QqKyyYR6Q21VydFLVH3TRQUabQu_ym0Zz7PgGX0-kHA/edit?usp=sharing"",""แผน!JJ87"")"),0)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IFERROR(__xludf.DUMMYFUNCTION("IMPORTRANGE(""https://docs.google.com/spreadsheets/d/1QqKyyYR6Q21VydFLVH3TRQUabQu_ym0Zz7PgGX0-kHA/edit?usp=sharing"",""แผน!JN87"")"),0)</f>
        <v>0</v>
      </c>
      <c r="J800" s="997">
        <f ca="1">IFERROR(__xludf.DUMMYFUNCTION("IMPORTRANGE(""https://docs.google.com/spreadsheets/d/1MaWodYyGHDf7siQLGxnXhG4mBNTNIuy296niS2xXulU/edit?usp=sharing"",""RTK!H87"")"),0)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IFERROR(__xludf.DUMMYFUNCTION("IMPORTRANGE(""https://docs.google.com/spreadsheets/d/1MaWodYyGHDf7siQLGxnXhG4mBNTNIuy296niS2xXulU/edit?usp=sharing"",""RTK!I87"")"),0)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>
        <v>0</v>
      </c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>
        <v>0</v>
      </c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343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880">
        <f ca="1">IFERROR(__xludf.DUMMYFUNCTION("IMPORTRANGE(""https://docs.google.com/spreadsheets/d/19vJNZY_5yjcGF2XGBMNZRCAIB0Kwfpjp8YEOfu-bneM/edit?usp=sharing"",""งานกองทุน!F87"")"),302299.68)</f>
        <v>302299.68</v>
      </c>
      <c r="K821" s="881">
        <f t="shared" ref="K821:K828" ca="1" si="335">IF(I821&gt;0,J821*100/I821,0)</f>
        <v>79.873257414289867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IFERROR(__xludf.DUMMYFUNCTION("IMPORTRANGE(""https://docs.google.com/spreadsheets/d/19vJNZY_5yjcGF2XGBMNZRCAIB0Kwfpjp8YEOfu-bneM/edit?usp=sharing"",""งานกองทุน!C87"")"),42)</f>
        <v>42</v>
      </c>
      <c r="J822" s="880">
        <f ca="1">IFERROR(__xludf.DUMMYFUNCTION("IMPORTRANGE(""https://docs.google.com/spreadsheets/d/19vJNZY_5yjcGF2XGBMNZRCAIB0Kwfpjp8YEOfu-bneM/edit?usp=sharing"",""งานกองทุน!E87"")"),35)</f>
        <v>35</v>
      </c>
      <c r="K822" s="881">
        <f t="shared" ca="1" si="335"/>
        <v>83.333333333333329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880">
        <f ca="1">IFERROR(__xludf.DUMMYFUNCTION("IMPORTRANGE(""https://docs.google.com/spreadsheets/d/19vJNZY_5yjcGF2XGBMNZRCAIB0Kwfpjp8YEOfu-bneM/edit?usp=sharing"",""งานกองทุน!K87"")"),20117.63)</f>
        <v>20117.63</v>
      </c>
      <c r="K823" s="881">
        <f t="shared" ca="1" si="335"/>
        <v>205.4784012877619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IFERROR(__xludf.DUMMYFUNCTION("IMPORTRANGE(""https://docs.google.com/spreadsheets/d/19vJNZY_5yjcGF2XGBMNZRCAIB0Kwfpjp8YEOfu-bneM/edit?usp=sharing"",""งานกองทุน!H87"")"),1)</f>
        <v>1</v>
      </c>
      <c r="J824" s="880">
        <f ca="1">IFERROR(__xludf.DUMMYFUNCTION("IMPORTRANGE(""https://docs.google.com/spreadsheets/d/19vJNZY_5yjcGF2XGBMNZRCAIB0Kwfpjp8YEOfu-bneM/edit?usp=sharing"",""งานกองทุน!J87"")"),2)</f>
        <v>2</v>
      </c>
      <c r="K824" s="881">
        <f t="shared" ca="1" si="335"/>
        <v>200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IFERROR(__xludf.DUMMYFUNCTION("IMPORTRANGE(""https://docs.google.com/spreadsheets/d/19vJNZY_5yjcGF2XGBMNZRCAIB0Kwfpjp8YEOfu-bneM/edit?usp=sharing"",""งานกองทุน!N87"")"),0)</f>
        <v>0</v>
      </c>
      <c r="J825" s="880">
        <f ca="1">IFERROR(__xludf.DUMMYFUNCTION("IMPORTRANGE(""https://docs.google.com/spreadsheets/d/19vJNZY_5yjcGF2XGBMNZRCAIB0Kwfpjp8YEOfu-bneM/edit?usp=sharing"",""งานกองทุน!P87"")"),0)</f>
        <v>0</v>
      </c>
      <c r="K825" s="881">
        <f t="shared" ca="1" si="335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IFERROR(__xludf.DUMMYFUNCTION("IMPORTRANGE(""https://docs.google.com/spreadsheets/d/19vJNZY_5yjcGF2XGBMNZRCAIB0Kwfpjp8YEOfu-bneM/edit?usp=sharing"",""งานกองทุน!M87"")"),0)</f>
        <v>0</v>
      </c>
      <c r="J826" s="880">
        <f ca="1">IFERROR(__xludf.DUMMYFUNCTION("IMPORTRANGE(""https://docs.google.com/spreadsheets/d/19vJNZY_5yjcGF2XGBMNZRCAIB0Kwfpjp8YEOfu-bneM/edit?usp=sharing"",""งานกองทุน!O87"")"),0)</f>
        <v>0</v>
      </c>
      <c r="K826" s="881">
        <f t="shared" ca="1" si="335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IFERROR(__xludf.DUMMYFUNCTION("IMPORTRANGE(""https://docs.google.com/spreadsheets/d/19vJNZY_5yjcGF2XGBMNZRCAIB0Kwfpjp8YEOfu-bneM/edit?usp=sharing"",""งานกองทุน!S87"")"),780000)</f>
        <v>780000</v>
      </c>
      <c r="J827" s="880">
        <f ca="1">IFERROR(__xludf.DUMMYFUNCTION("IMPORTRANGE(""https://docs.google.com/spreadsheets/d/19vJNZY_5yjcGF2XGBMNZRCAIB0Kwfpjp8YEOfu-bneM/edit?usp=sharing"",""งานกองทุน!U87"")"),570000)</f>
        <v>570000</v>
      </c>
      <c r="K827" s="881">
        <f t="shared" ca="1" si="335"/>
        <v>73.07692307692308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IFERROR(__xludf.DUMMYFUNCTION("IMPORTRANGE(""https://docs.google.com/spreadsheets/d/19vJNZY_5yjcGF2XGBMNZRCAIB0Kwfpjp8YEOfu-bneM/edit?usp=sharing"",""งานกองทุน!R87"")"),31)</f>
        <v>31</v>
      </c>
      <c r="J828" s="1138">
        <f ca="1">IFERROR(__xludf.DUMMYFUNCTION("IMPORTRANGE(""https://docs.google.com/spreadsheets/d/19vJNZY_5yjcGF2XGBMNZRCAIB0Kwfpjp8YEOfu-bneM/edit?usp=sharing"",""งานกองทุน!T87"")"),19)</f>
        <v>19</v>
      </c>
      <c r="K828" s="1239">
        <f t="shared" ca="1" si="335"/>
        <v>61.29032258064516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AA090-48D1-46F6-A385-418EAD1B3814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10" width="16.140625" style="852" bestFit="1" customWidth="1"/>
    <col min="11" max="11" width="14.57031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355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7067032</v>
      </c>
      <c r="M8" s="867">
        <f t="shared" ca="1" si="0"/>
        <v>6214203</v>
      </c>
      <c r="N8" s="867">
        <f t="shared" ca="1" si="0"/>
        <v>4378329.08</v>
      </c>
      <c r="O8" s="867">
        <f t="shared" ref="O8:O16" ca="1" si="1">IF(L8&gt;0,N8*100/L8,0)</f>
        <v>61.954284061540967</v>
      </c>
      <c r="P8" s="867">
        <f t="shared" ref="P8:P16" ca="1" si="2">IF(M8&gt;0,N8*100/M8,0)</f>
        <v>70.456808057284263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7067032</v>
      </c>
      <c r="M10" s="874">
        <f t="shared" ca="1" si="3"/>
        <v>6214203</v>
      </c>
      <c r="N10" s="874">
        <f t="shared" ca="1" si="3"/>
        <v>4378329.08</v>
      </c>
      <c r="O10" s="874">
        <f t="shared" ca="1" si="1"/>
        <v>61.954284061540967</v>
      </c>
      <c r="P10" s="874">
        <f t="shared" ca="1" si="2"/>
        <v>70.456808057284263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6598432</v>
      </c>
      <c r="M11" s="881">
        <f t="shared" ca="1" si="4"/>
        <v>5778203</v>
      </c>
      <c r="N11" s="881">
        <f t="shared" ca="1" si="4"/>
        <v>3942329.08</v>
      </c>
      <c r="O11" s="881">
        <f t="shared" ca="1" si="1"/>
        <v>59.746453096735706</v>
      </c>
      <c r="P11" s="881">
        <f t="shared" ca="1" si="2"/>
        <v>68.227597403552622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6598432</v>
      </c>
      <c r="M13" s="887">
        <f t="shared" ca="1" si="5"/>
        <v>5778203</v>
      </c>
      <c r="N13" s="887">
        <f t="shared" ca="1" si="5"/>
        <v>3942329.08</v>
      </c>
      <c r="O13" s="887">
        <f t="shared" ca="1" si="1"/>
        <v>59.746453096735706</v>
      </c>
      <c r="P13" s="887">
        <f t="shared" ca="1" si="2"/>
        <v>68.227597403552622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468600</v>
      </c>
      <c r="M14" s="881">
        <f t="shared" ca="1" si="6"/>
        <v>436000</v>
      </c>
      <c r="N14" s="881">
        <f t="shared" ca="1" si="6"/>
        <v>436000</v>
      </c>
      <c r="O14" s="881">
        <f t="shared" ca="1" si="1"/>
        <v>93.043107127614164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468600</v>
      </c>
      <c r="M16" s="893">
        <f t="shared" ca="1" si="7"/>
        <v>436000</v>
      </c>
      <c r="N16" s="893">
        <f t="shared" ca="1" si="7"/>
        <v>436000</v>
      </c>
      <c r="O16" s="893">
        <f t="shared" ca="1" si="1"/>
        <v>93.043107127614164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4971944</v>
      </c>
      <c r="M18" s="867">
        <f t="shared" ca="1" si="8"/>
        <v>4119115</v>
      </c>
      <c r="N18" s="867">
        <f t="shared" ca="1" si="8"/>
        <v>3025634.68</v>
      </c>
      <c r="O18" s="867">
        <f t="shared" ref="O18:O26" ca="1" si="9">IF(L18&gt;0,N18*100/L18,0)</f>
        <v>60.854158453916618</v>
      </c>
      <c r="P18" s="867">
        <f t="shared" ref="P18:P26" ca="1" si="10">IF(M18&gt;0,N18*100/M18,0)</f>
        <v>73.453513193974914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4971944</v>
      </c>
      <c r="M20" s="874">
        <f t="shared" ca="1" si="11"/>
        <v>4119115</v>
      </c>
      <c r="N20" s="874">
        <f t="shared" ca="1" si="11"/>
        <v>3025634.68</v>
      </c>
      <c r="O20" s="874">
        <f t="shared" ca="1" si="9"/>
        <v>60.854158453916618</v>
      </c>
      <c r="P20" s="874">
        <f t="shared" ca="1" si="10"/>
        <v>73.453513193974914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4503344</v>
      </c>
      <c r="M21" s="881">
        <f t="shared" ca="1" si="12"/>
        <v>3683115</v>
      </c>
      <c r="N21" s="881">
        <f t="shared" ca="1" si="12"/>
        <v>2589634.6800000002</v>
      </c>
      <c r="O21" s="881">
        <f t="shared" ca="1" si="9"/>
        <v>57.504704948145211</v>
      </c>
      <c r="P21" s="881">
        <f t="shared" ca="1" si="10"/>
        <v>70.310991647016195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4503344</v>
      </c>
      <c r="M23" s="887">
        <f t="shared" ca="1" si="13"/>
        <v>3683115</v>
      </c>
      <c r="N23" s="887">
        <f t="shared" ca="1" si="13"/>
        <v>2589634.6800000002</v>
      </c>
      <c r="O23" s="887">
        <f t="shared" ca="1" si="9"/>
        <v>57.504704948145211</v>
      </c>
      <c r="P23" s="887">
        <f t="shared" ca="1" si="10"/>
        <v>70.310991647016195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468600</v>
      </c>
      <c r="M24" s="881">
        <f t="shared" ca="1" si="14"/>
        <v>436000</v>
      </c>
      <c r="N24" s="881">
        <f t="shared" ca="1" si="14"/>
        <v>436000</v>
      </c>
      <c r="O24" s="881">
        <f t="shared" ca="1" si="9"/>
        <v>93.043107127614164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468600</v>
      </c>
      <c r="M26" s="893">
        <f t="shared" ca="1" si="15"/>
        <v>436000</v>
      </c>
      <c r="N26" s="893">
        <f t="shared" ca="1" si="15"/>
        <v>436000</v>
      </c>
      <c r="O26" s="893">
        <f t="shared" ca="1" si="9"/>
        <v>93.043107127614164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2095088</v>
      </c>
      <c r="M28" s="867">
        <f t="shared" ca="1" si="16"/>
        <v>2095088</v>
      </c>
      <c r="N28" s="867">
        <f t="shared" si="16"/>
        <v>1352694.4</v>
      </c>
      <c r="O28" s="867">
        <f t="shared" ref="O28:O37" ca="1" si="17">IF(L28&gt;0,N28*100/L28,0)</f>
        <v>64.565039750120278</v>
      </c>
      <c r="P28" s="867">
        <f t="shared" ref="P28:P37" ca="1" si="18">IF(M28&gt;0,N28*100/M28,0)</f>
        <v>64.565039750120278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2095088</v>
      </c>
      <c r="M30" s="874">
        <f t="shared" ca="1" si="19"/>
        <v>2095088</v>
      </c>
      <c r="N30" s="874">
        <f t="shared" si="19"/>
        <v>1352694.4</v>
      </c>
      <c r="O30" s="874">
        <f t="shared" ca="1" si="17"/>
        <v>64.565039750120278</v>
      </c>
      <c r="P30" s="874">
        <f t="shared" ca="1" si="18"/>
        <v>64.565039750120278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2095088</v>
      </c>
      <c r="M31" s="881">
        <f t="shared" ca="1" si="20"/>
        <v>2095088</v>
      </c>
      <c r="N31" s="881">
        <f t="shared" si="20"/>
        <v>1352694.4</v>
      </c>
      <c r="O31" s="881">
        <f t="shared" ca="1" si="17"/>
        <v>64.565039750120278</v>
      </c>
      <c r="P31" s="881">
        <f t="shared" ca="1" si="18"/>
        <v>64.565039750120278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2095088</v>
      </c>
      <c r="M33" s="887">
        <f t="shared" ca="1" si="21"/>
        <v>2095088</v>
      </c>
      <c r="N33" s="887">
        <f t="shared" si="21"/>
        <v>1352694.4</v>
      </c>
      <c r="O33" s="887">
        <f t="shared" ca="1" si="17"/>
        <v>64.565039750120278</v>
      </c>
      <c r="P33" s="887">
        <f t="shared" ca="1" si="18"/>
        <v>64.565039750120278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4971944</v>
      </c>
      <c r="M37" s="900">
        <f t="shared" ca="1" si="24"/>
        <v>4119115</v>
      </c>
      <c r="N37" s="900">
        <f t="shared" ca="1" si="24"/>
        <v>3025634.68</v>
      </c>
      <c r="O37" s="900">
        <f t="shared" ca="1" si="17"/>
        <v>60.854158453916618</v>
      </c>
      <c r="P37" s="900">
        <f t="shared" ca="1" si="18"/>
        <v>73.453513193974914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675169</v>
      </c>
      <c r="M41" s="926">
        <f t="shared" ca="1" si="25"/>
        <v>696040</v>
      </c>
      <c r="N41" s="926">
        <f t="shared" ca="1" si="25"/>
        <v>415521</v>
      </c>
      <c r="O41" s="926">
        <f t="shared" ref="O41:O49" ca="1" si="26">IF(L41&gt;0,N41*100/L41,0)</f>
        <v>61.543258058352798</v>
      </c>
      <c r="P41" s="926">
        <f t="shared" ref="P41:P49" ca="1" si="27">IF(M41&gt;0,N41*100/M41,0)</f>
        <v>59.697862191828058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675169</v>
      </c>
      <c r="M43" s="932">
        <f t="shared" ca="1" si="28"/>
        <v>696040</v>
      </c>
      <c r="N43" s="932">
        <f t="shared" ca="1" si="28"/>
        <v>415521</v>
      </c>
      <c r="O43" s="932">
        <f t="shared" ca="1" si="26"/>
        <v>61.543258058352798</v>
      </c>
      <c r="P43" s="932">
        <f t="shared" ca="1" si="27"/>
        <v>59.697862191828058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675169</v>
      </c>
      <c r="M44" s="881">
        <f t="shared" ca="1" si="29"/>
        <v>696040</v>
      </c>
      <c r="N44" s="881">
        <f t="shared" ca="1" si="29"/>
        <v>415521</v>
      </c>
      <c r="O44" s="881">
        <f t="shared" ca="1" si="26"/>
        <v>61.543258058352798</v>
      </c>
      <c r="P44" s="881">
        <f t="shared" ca="1" si="27"/>
        <v>59.697862191828058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IFERROR(__xludf.DUMMYFUNCTION("IMPORTRANGE(""https://docs.google.com/spreadsheets/d/1MeEWN-I1oV_STSDYn1IFDPWt_1FKiwhDph83XaGc0o0/edit?usp=sharing"",""งบพรบ!M88"")"),675169)</f>
        <v>675169</v>
      </c>
      <c r="M46" s="887">
        <f ca="1">IFERROR(__xludf.DUMMYFUNCTION("IMPORTRANGE(""https://docs.google.com/spreadsheets/d/1MeEWN-I1oV_STSDYn1IFDPWt_1FKiwhDph83XaGc0o0/edit?usp=sharing"",""งบพรบ!R88"")"),696040)</f>
        <v>696040</v>
      </c>
      <c r="N46" s="887">
        <f ca="1">IFERROR(__xludf.DUMMYFUNCTION("IMPORTRANGE(""https://docs.google.com/spreadsheets/d/1MeEWN-I1oV_STSDYn1IFDPWt_1FKiwhDph83XaGc0o0/edit?usp=sharing"",""งบพรบ!T88"")"),415521)</f>
        <v>415521</v>
      </c>
      <c r="O46" s="887">
        <f t="shared" ca="1" si="26"/>
        <v>61.543258058352798</v>
      </c>
      <c r="P46" s="887">
        <f t="shared" ca="1" si="27"/>
        <v>59.697862191828058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IFERROR(__xludf.DUMMYFUNCTION("IMPORTRANGE(""https://docs.google.com/spreadsheets/d/1MeEWN-I1oV_STSDYn1IFDPWt_1FKiwhDph83XaGc0o0/edit?usp=sharing"",""งบพรบ!P88"")"),0)</f>
        <v>0</v>
      </c>
      <c r="M49" s="893">
        <f ca="1">IFERROR(__xludf.DUMMYFUNCTION("IMPORTRANGE(""https://docs.google.com/spreadsheets/d/1MeEWN-I1oV_STSDYn1IFDPWt_1FKiwhDph83XaGc0o0/edit?usp=sharing"",""งบพรบ!S88"")"),0)</f>
        <v>0</v>
      </c>
      <c r="N49" s="893">
        <f ca="1">IFERROR(__xludf.DUMMYFUNCTION("IMPORTRANGE(""https://docs.google.com/spreadsheets/d/1MeEWN-I1oV_STSDYn1IFDPWt_1FKiwhDph83XaGc0o0/edit?usp=sharing"",""งบพรบ!U88"")"),0)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643400</v>
      </c>
      <c r="M53" s="956">
        <f t="shared" ca="1" si="31"/>
        <v>504900</v>
      </c>
      <c r="N53" s="956">
        <f t="shared" ca="1" si="31"/>
        <v>440629.69</v>
      </c>
      <c r="O53" s="956">
        <f t="shared" ref="O53:O61" ca="1" si="32">IF(L53&gt;0,N53*100/L53,0)</f>
        <v>68.484564811936593</v>
      </c>
      <c r="P53" s="956">
        <f t="shared" ref="P53:P61" ca="1" si="33">IF(M53&gt;0,N53*100/M53,0)</f>
        <v>87.270685284214693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643400</v>
      </c>
      <c r="M55" s="962">
        <f t="shared" ca="1" si="34"/>
        <v>504900</v>
      </c>
      <c r="N55" s="962">
        <f t="shared" ca="1" si="34"/>
        <v>440629.69</v>
      </c>
      <c r="O55" s="962">
        <f t="shared" ca="1" si="32"/>
        <v>68.484564811936593</v>
      </c>
      <c r="P55" s="962">
        <f t="shared" ca="1" si="33"/>
        <v>87.270685284214693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532400</v>
      </c>
      <c r="M56" s="881">
        <f t="shared" ca="1" si="35"/>
        <v>399300</v>
      </c>
      <c r="N56" s="881">
        <f t="shared" ca="1" si="35"/>
        <v>335029.69</v>
      </c>
      <c r="O56" s="881">
        <f t="shared" ca="1" si="32"/>
        <v>62.928191209616827</v>
      </c>
      <c r="P56" s="881">
        <f t="shared" ca="1" si="33"/>
        <v>83.904254946155774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IFERROR(__xludf.DUMMYFUNCTION("IMPORTRANGE(""https://docs.google.com/spreadsheets/d/1MeEWN-I1oV_STSDYn1IFDPWt_1FKiwhDph83XaGc0o0/edit?usp=sharing"",""งบพรบ!W88"")"),532400)</f>
        <v>532400</v>
      </c>
      <c r="M58" s="887">
        <f ca="1">IFERROR(__xludf.DUMMYFUNCTION("IMPORTRANGE(""https://docs.google.com/spreadsheets/d/1MeEWN-I1oV_STSDYn1IFDPWt_1FKiwhDph83XaGc0o0/edit?usp=sharing"",""งบพรบ!AB88"")"),399300)</f>
        <v>399300</v>
      </c>
      <c r="N58" s="887">
        <f ca="1">IFERROR(__xludf.DUMMYFUNCTION("IMPORTRANGE(""https://docs.google.com/spreadsheets/d/1MeEWN-I1oV_STSDYn1IFDPWt_1FKiwhDph83XaGc0o0/edit?usp=sharing"",""งบพรบ!AD88"")"),335029.69)</f>
        <v>335029.69</v>
      </c>
      <c r="O58" s="887">
        <f t="shared" ca="1" si="32"/>
        <v>62.928191209616827</v>
      </c>
      <c r="P58" s="887">
        <f t="shared" ca="1" si="33"/>
        <v>83.904254946155774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111000</v>
      </c>
      <c r="M59" s="881">
        <f t="shared" ca="1" si="36"/>
        <v>105600</v>
      </c>
      <c r="N59" s="881">
        <f t="shared" ca="1" si="36"/>
        <v>105600</v>
      </c>
      <c r="O59" s="881">
        <f t="shared" ca="1" si="32"/>
        <v>95.13513513513513</v>
      </c>
      <c r="P59" s="881">
        <f t="shared" ca="1" si="33"/>
        <v>100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IFERROR(__xludf.DUMMYFUNCTION("IMPORTRANGE(""https://docs.google.com/spreadsheets/d/1MeEWN-I1oV_STSDYn1IFDPWt_1FKiwhDph83XaGc0o0/edit?usp=sharing"",""งบพรบ!Z88"")"),111000)</f>
        <v>111000</v>
      </c>
      <c r="M61" s="893">
        <f ca="1">IFERROR(__xludf.DUMMYFUNCTION("IMPORTRANGE(""https://docs.google.com/spreadsheets/d/1MeEWN-I1oV_STSDYn1IFDPWt_1FKiwhDph83XaGc0o0/edit?usp=sharing"",""งบพรบ!AC88"")"),105600)</f>
        <v>105600</v>
      </c>
      <c r="N61" s="893">
        <f ca="1">IFERROR(__xludf.DUMMYFUNCTION("IMPORTRANGE(""https://docs.google.com/spreadsheets/d/1MeEWN-I1oV_STSDYn1IFDPWt_1FKiwhDph83XaGc0o0/edit?usp=sharing"",""งบพรบ!AE88"")"),105600)</f>
        <v>105600</v>
      </c>
      <c r="O61" s="893">
        <f t="shared" ca="1" si="32"/>
        <v>95.13513513513513</v>
      </c>
      <c r="P61" s="893">
        <f t="shared" ca="1" si="33"/>
        <v>100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1</v>
      </c>
      <c r="J64" s="982">
        <f t="shared" si="37"/>
        <v>1</v>
      </c>
      <c r="K64" s="983">
        <f t="shared" ref="K64:K65" ca="1" si="38">IF(I64&gt;0,J64*100/I64,0)</f>
        <v>100</v>
      </c>
      <c r="L64" s="984"/>
      <c r="M64" s="984"/>
      <c r="N64" s="984"/>
      <c r="O64" s="984"/>
      <c r="P64" s="984"/>
    </row>
    <row r="65" spans="1:26" ht="19.5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30</v>
      </c>
      <c r="J65" s="982">
        <f t="shared" si="37"/>
        <v>30</v>
      </c>
      <c r="K65" s="983">
        <f t="shared" ca="1" si="38"/>
        <v>100</v>
      </c>
      <c r="L65" s="984"/>
      <c r="M65" s="984"/>
      <c r="N65" s="984"/>
      <c r="O65" s="984"/>
      <c r="P65" s="984"/>
    </row>
    <row r="66" spans="1:26" ht="19.5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384000</v>
      </c>
      <c r="M66" s="992">
        <f t="shared" ca="1" si="39"/>
        <v>285000</v>
      </c>
      <c r="N66" s="992">
        <f t="shared" ca="1" si="39"/>
        <v>232514.76</v>
      </c>
      <c r="O66" s="992">
        <f t="shared" ref="O66:O74" ca="1" si="40">IF(L66&gt;0,N66*100/L66,0)</f>
        <v>60.550718750000001</v>
      </c>
      <c r="P66" s="992">
        <f t="shared" ref="P66:P74" ca="1" si="41">IF(M66&gt;0,N66*100/M66,0)</f>
        <v>81.584126315789476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384000</v>
      </c>
      <c r="M68" s="887">
        <f t="shared" ca="1" si="42"/>
        <v>285000</v>
      </c>
      <c r="N68" s="887">
        <f t="shared" ca="1" si="42"/>
        <v>232514.76</v>
      </c>
      <c r="O68" s="887">
        <f t="shared" ca="1" si="40"/>
        <v>60.550718750000001</v>
      </c>
      <c r="P68" s="887">
        <f t="shared" ca="1" si="41"/>
        <v>81.584126315789476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384000</v>
      </c>
      <c r="M69" s="881">
        <f t="shared" ca="1" si="43"/>
        <v>285000</v>
      </c>
      <c r="N69" s="881">
        <f t="shared" ca="1" si="43"/>
        <v>232514.76</v>
      </c>
      <c r="O69" s="881">
        <f t="shared" ca="1" si="40"/>
        <v>60.550718750000001</v>
      </c>
      <c r="P69" s="881">
        <f t="shared" ca="1" si="41"/>
        <v>81.584126315789476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IFERROR(__xludf.DUMMYFUNCTION("IMPORTRANGE(""https://docs.google.com/spreadsheets/d/1MeEWN-I1oV_STSDYn1IFDPWt_1FKiwhDph83XaGc0o0/edit?usp=sharing"",""งบพรบ!AG88"")"),384000)</f>
        <v>384000</v>
      </c>
      <c r="M71" s="887">
        <f ca="1">IFERROR(__xludf.DUMMYFUNCTION("IMPORTRANGE(""https://docs.google.com/spreadsheets/d/1MeEWN-I1oV_STSDYn1IFDPWt_1FKiwhDph83XaGc0o0/edit?usp=sharing"",""งบพรบ!AL88"")"),285000)</f>
        <v>285000</v>
      </c>
      <c r="N71" s="887">
        <f ca="1">IFERROR(__xludf.DUMMYFUNCTION("IMPORTRANGE(""https://docs.google.com/spreadsheets/d/1MeEWN-I1oV_STSDYn1IFDPWt_1FKiwhDph83XaGc0o0/edit?usp=sharing"",""งบพรบ!AN88"")"),232514.76)</f>
        <v>232514.76</v>
      </c>
      <c r="O71" s="887">
        <f t="shared" ca="1" si="40"/>
        <v>60.550718750000001</v>
      </c>
      <c r="P71" s="887">
        <f t="shared" ca="1" si="41"/>
        <v>81.584126315789476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IFERROR(__xludf.DUMMYFUNCTION("IMPORTRANGE(""https://docs.google.com/spreadsheets/d/1MeEWN-I1oV_STSDYn1IFDPWt_1FKiwhDph83XaGc0o0/edit?usp=sharing"",""งบพรบ!AJ88"")"),0)</f>
        <v>0</v>
      </c>
      <c r="M74" s="887">
        <f ca="1">IFERROR(__xludf.DUMMYFUNCTION("IMPORTRANGE(""https://docs.google.com/spreadsheets/d/1MeEWN-I1oV_STSDYn1IFDPWt_1FKiwhDph83XaGc0o0/edit?usp=sharing"",""งบพรบ!AM88"")"),0)</f>
        <v>0</v>
      </c>
      <c r="N74" s="887">
        <f ca="1">IFERROR(__xludf.DUMMYFUNCTION("IMPORTRANGE(""https://docs.google.com/spreadsheets/d/1MeEWN-I1oV_STSDYn1IFDPWt_1FKiwhDph83XaGc0o0/edit?usp=sharing"",""งบพรบ!AO88"")"),0)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1</v>
      </c>
      <c r="J76" s="880">
        <f t="shared" si="45"/>
        <v>1</v>
      </c>
      <c r="K76" s="998">
        <f t="shared" ref="K76:K84" ca="1" si="46">IF(I76&gt;0,J76*100/I76,0)</f>
        <v>100</v>
      </c>
      <c r="L76" s="998"/>
      <c r="M76" s="998"/>
      <c r="N76" s="998"/>
      <c r="O76" s="998"/>
      <c r="P76" s="998"/>
    </row>
    <row r="77" spans="1:26" ht="19.5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30</v>
      </c>
      <c r="J77" s="880">
        <f t="shared" si="45"/>
        <v>30</v>
      </c>
      <c r="K77" s="998">
        <f t="shared" ca="1" si="46"/>
        <v>100</v>
      </c>
      <c r="L77" s="998"/>
      <c r="M77" s="998"/>
      <c r="N77" s="998"/>
      <c r="O77" s="998"/>
      <c r="P77" s="998"/>
    </row>
    <row r="78" spans="1:26" ht="18.75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IFERROR(__xludf.DUMMYFUNCTION("IMPORTRANGE(""https://docs.google.com/spreadsheets/d/1QqKyyYR6Q21VydFLVH3TRQUabQu_ym0Zz7PgGX0-kHA/edit?usp=sharing"",""แผน!H88"")"),1)</f>
        <v>1</v>
      </c>
      <c r="J78" s="1012">
        <v>1</v>
      </c>
      <c r="K78" s="998">
        <f t="shared" ca="1" si="46"/>
        <v>100</v>
      </c>
      <c r="L78" s="998"/>
      <c r="M78" s="998"/>
      <c r="N78" s="998"/>
      <c r="O78" s="998"/>
      <c r="P78" s="998"/>
    </row>
    <row r="79" spans="1:26" ht="18.75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IFERROR(__xludf.DUMMYFUNCTION("IMPORTRANGE(""https://docs.google.com/spreadsheets/d/1QqKyyYR6Q21VydFLVH3TRQUabQu_ym0Zz7PgGX0-kHA/edit?usp=sharing"",""แผน!I88"")"),30)</f>
        <v>30</v>
      </c>
      <c r="J79" s="1012">
        <v>30</v>
      </c>
      <c r="K79" s="998">
        <f t="shared" ca="1" si="46"/>
        <v>100</v>
      </c>
      <c r="L79" s="998"/>
      <c r="M79" s="998"/>
      <c r="N79" s="998"/>
      <c r="O79" s="998"/>
      <c r="P79" s="998"/>
    </row>
    <row r="80" spans="1:26" ht="18.75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IFERROR(__xludf.DUMMYFUNCTION("IMPORTRANGE(""https://docs.google.com/spreadsheets/d/1QqKyyYR6Q21VydFLVH3TRQUabQu_ym0Zz7PgGX0-kHA/edit?usp=sharing"",""แผน!F88"")"),0)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IFERROR(__xludf.DUMMYFUNCTION("IMPORTRANGE(""https://docs.google.com/spreadsheets/d/1QqKyyYR6Q21VydFLVH3TRQUabQu_ym0Zz7PgGX0-kHA/edit?usp=sharing"",""แผน!G88"")"),0)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IFERROR(__xludf.DUMMYFUNCTION("IMPORTRANGE(""https://docs.google.com/spreadsheets/d/1QqKyyYR6Q21VydFLVH3TRQUabQu_ym0Zz7PgGX0-kHA/edit?usp=sharing"",""แผน!D88"")"),0)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IFERROR(__xludf.DUMMYFUNCTION("IMPORTRANGE(""https://docs.google.com/spreadsheets/d/1QqKyyYR6Q21VydFLVH3TRQUabQu_ym0Zz7PgGX0-kHA/edit?usp=sharing"",""แผน!E88"")"),0)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IFERROR(__xludf.DUMMYFUNCTION("IMPORTRANGE(""https://docs.google.com/spreadsheets/d/1QqKyyYR6Q21VydFLVH3TRQUabQu_ym0Zz7PgGX0-kHA/edit?usp=sharing"",""แผน!J88"")"),1)</f>
        <v>1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30</v>
      </c>
      <c r="J86" s="982">
        <f t="shared" si="47"/>
        <v>30</v>
      </c>
      <c r="K86" s="983">
        <f t="shared" ref="K86:K87" ca="1" si="48">IF(I86&gt;0,J86*100/I86,0)</f>
        <v>100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10</v>
      </c>
      <c r="J87" s="982">
        <f t="shared" si="47"/>
        <v>10</v>
      </c>
      <c r="K87" s="983">
        <f t="shared" ca="1" si="48"/>
        <v>100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56040</v>
      </c>
      <c r="M88" s="992">
        <f t="shared" ca="1" si="49"/>
        <v>51190</v>
      </c>
      <c r="N88" s="992">
        <f t="shared" ca="1" si="49"/>
        <v>50990</v>
      </c>
      <c r="O88" s="992">
        <f t="shared" ref="O88:O96" ca="1" si="50">IF(L88&gt;0,N88*100/L88,0)</f>
        <v>90.98857958600999</v>
      </c>
      <c r="P88" s="992">
        <f t="shared" ref="P88:P96" ca="1" si="51">IF(M88&gt;0,N88*100/M88,0)</f>
        <v>99.609298691150613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56040</v>
      </c>
      <c r="M90" s="887">
        <f t="shared" ca="1" si="52"/>
        <v>51190</v>
      </c>
      <c r="N90" s="887">
        <f t="shared" ca="1" si="52"/>
        <v>50990</v>
      </c>
      <c r="O90" s="887">
        <f t="shared" ca="1" si="50"/>
        <v>90.98857958600999</v>
      </c>
      <c r="P90" s="887">
        <f t="shared" ca="1" si="51"/>
        <v>99.609298691150613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56040</v>
      </c>
      <c r="M91" s="881">
        <f t="shared" ca="1" si="53"/>
        <v>51190</v>
      </c>
      <c r="N91" s="881">
        <f t="shared" ca="1" si="53"/>
        <v>50990</v>
      </c>
      <c r="O91" s="881">
        <f t="shared" ca="1" si="50"/>
        <v>90.98857958600999</v>
      </c>
      <c r="P91" s="881">
        <f t="shared" ca="1" si="51"/>
        <v>99.609298691150613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IFERROR(__xludf.DUMMYFUNCTION("IMPORTRANGE(""https://docs.google.com/spreadsheets/d/1MeEWN-I1oV_STSDYn1IFDPWt_1FKiwhDph83XaGc0o0/edit?usp=sharing"",""งบพรบ!AQ88"")"),56040)</f>
        <v>56040</v>
      </c>
      <c r="M93" s="887">
        <f ca="1">IFERROR(__xludf.DUMMYFUNCTION("IMPORTRANGE(""https://docs.google.com/spreadsheets/d/1MeEWN-I1oV_STSDYn1IFDPWt_1FKiwhDph83XaGc0o0/edit?usp=sharing"",""งบพรบ!AV88"")"),51190)</f>
        <v>51190</v>
      </c>
      <c r="N93" s="887">
        <f ca="1">IFERROR(__xludf.DUMMYFUNCTION("IMPORTRANGE(""https://docs.google.com/spreadsheets/d/1MeEWN-I1oV_STSDYn1IFDPWt_1FKiwhDph83XaGc0o0/edit?usp=sharing"",""งบพรบ!AX88"")"),50990)</f>
        <v>50990</v>
      </c>
      <c r="O93" s="887">
        <f t="shared" ca="1" si="50"/>
        <v>90.98857958600999</v>
      </c>
      <c r="P93" s="887">
        <f t="shared" ca="1" si="51"/>
        <v>99.609298691150613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IFERROR(__xludf.DUMMYFUNCTION("IMPORTRANGE(""https://docs.google.com/spreadsheets/d/1MeEWN-I1oV_STSDYn1IFDPWt_1FKiwhDph83XaGc0o0/edit?usp=sharing"",""งบพรบ!AT88"")"),0)</f>
        <v>0</v>
      </c>
      <c r="M96" s="887">
        <f ca="1">IFERROR(__xludf.DUMMYFUNCTION("IMPORTRANGE(""https://docs.google.com/spreadsheets/d/1MeEWN-I1oV_STSDYn1IFDPWt_1FKiwhDph83XaGc0o0/edit?usp=sharing"",""งบพรบ!AW88"")"),0)</f>
        <v>0</v>
      </c>
      <c r="N96" s="887">
        <f ca="1">IFERROR(__xludf.DUMMYFUNCTION("IMPORTRANGE(""https://docs.google.com/spreadsheets/d/1MeEWN-I1oV_STSDYn1IFDPWt_1FKiwhDph83XaGc0o0/edit?usp=sharing"",""งบพรบ!AY88"")"),0)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IFERROR(__xludf.DUMMYFUNCTION("IMPORTRANGE(""https://docs.google.com/spreadsheets/d/1QqKyyYR6Q21VydFLVH3TRQUabQu_ym0Zz7PgGX0-kHA/edit?usp=sharing"",""แผน!K88"")"),30)</f>
        <v>30</v>
      </c>
      <c r="J98" s="880">
        <f>J102</f>
        <v>30</v>
      </c>
      <c r="K98" s="881">
        <f t="shared" ref="K98:K100" ca="1" si="55">IF(I98&gt;0,J98*100/I98,0)</f>
        <v>100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IFERROR(__xludf.DUMMYFUNCTION("IMPORTRANGE(""https://docs.google.com/spreadsheets/d/1QqKyyYR6Q21VydFLVH3TRQUabQu_ym0Zz7PgGX0-kHA/edit?usp=sharing"",""แผน!L88"")"),10)</f>
        <v>10</v>
      </c>
      <c r="J99" s="880">
        <f>J104</f>
        <v>10</v>
      </c>
      <c r="K99" s="881">
        <f t="shared" ca="1" si="55"/>
        <v>100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IFERROR(__xludf.DUMMYFUNCTION("IMPORTRANGE(""https://docs.google.com/spreadsheets/d/1QqKyyYR6Q21VydFLVH3TRQUabQu_ym0Zz7PgGX0-kHA/edit?usp=sharing"",""แผน!M88"")"),1)</f>
        <v>1</v>
      </c>
      <c r="J100" s="880">
        <f>J107+J110</f>
        <v>1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IFERROR(__xludf.DUMMYFUNCTION("IMPORTRANGE(""https://docs.google.com/spreadsheets/d/1QqKyyYR6Q21VydFLVH3TRQUabQu_ym0Zz7PgGX0-kHA/edit?usp=sharing"",""แผน!N88"")"),30)</f>
        <v>30</v>
      </c>
      <c r="J102" s="1012">
        <v>30</v>
      </c>
      <c r="K102" s="881">
        <f t="shared" ref="K102:K104" ca="1" si="56">IF(I102&gt;0,J102*100/I102,0)</f>
        <v>100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IFERROR(__xludf.DUMMYFUNCTION("IMPORTRANGE(""https://docs.google.com/spreadsheets/d/1QqKyyYR6Q21VydFLVH3TRQUabQu_ym0Zz7PgGX0-kHA/edit?usp=sharing"",""แผน!O88"")"),10)</f>
        <v>10</v>
      </c>
      <c r="J103" s="1012">
        <v>10</v>
      </c>
      <c r="K103" s="881">
        <f t="shared" ca="1" si="56"/>
        <v>100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IFERROR(__xludf.DUMMYFUNCTION("IMPORTRANGE(""https://docs.google.com/spreadsheets/d/1QqKyyYR6Q21VydFLVH3TRQUabQu_ym0Zz7PgGX0-kHA/edit?usp=sharing"",""แผน!O88"")"),10)</f>
        <v>10</v>
      </c>
      <c r="J104" s="1012">
        <v>10</v>
      </c>
      <c r="K104" s="881">
        <f t="shared" ca="1" si="56"/>
        <v>100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IFERROR(__xludf.DUMMYFUNCTION("IMPORTRANGE(""https://docs.google.com/spreadsheets/d/1QqKyyYR6Q21VydFLVH3TRQUabQu_ym0Zz7PgGX0-kHA/edit?usp=sharing"",""แผน!P88"")"),1)</f>
        <v>1</v>
      </c>
      <c r="J106" s="1012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IFERROR(__xludf.DUMMYFUNCTION("IMPORTRANGE(""https://docs.google.com/spreadsheets/d/1QqKyyYR6Q21VydFLVH3TRQUabQu_ym0Zz7PgGX0-kHA/edit?usp=sharing"",""แผน!P88"")"),1)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IFERROR(__xludf.DUMMYFUNCTION("IMPORTRANGE(""https://docs.google.com/spreadsheets/d/1QqKyyYR6Q21VydFLVH3TRQUabQu_ym0Zz7PgGX0-kHA/edit?usp=sharing"",""แผน!Q88"")"),0)</f>
        <v>0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IFERROR(__xludf.DUMMYFUNCTION("IMPORTRANGE(""https://docs.google.com/spreadsheets/d/1QqKyyYR6Q21VydFLVH3TRQUabQu_ym0Zz7PgGX0-kHA/edit?usp=sharing"",""แผน!Q88"")"),0)</f>
        <v>0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IFERROR(__xludf.DUMMYFUNCTION("IMPORTRANGE(""https://docs.google.com/spreadsheets/d/1QqKyyYR6Q21VydFLVH3TRQUabQu_ym0Zz7PgGX0-kHA/edit?usp=sharing"",""แผน!R88"")"),10)</f>
        <v>10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1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IFERROR(__xludf.DUMMYFUNCTION("IMPORTRANGE(""https://docs.google.com/spreadsheets/d/1QqKyyYR6Q21VydFLVH3TRQUabQu_ym0Zz7PgGX0-kHA/edit?usp=sharing"",""แผน!R88"")"),10)</f>
        <v>10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IFERROR(__xludf.DUMMYFUNCTION("IMPORTRANGE(""https://docs.google.com/spreadsheets/d/1QqKyyYR6Q21VydFLVH3TRQUabQu_ym0Zz7PgGX0-kHA/edit?usp=sharing"",""แผน!R88"")"),10)</f>
        <v>10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IFERROR(__xludf.DUMMYFUNCTION("IMPORTRANGE(""https://docs.google.com/spreadsheets/d/1QqKyyYR6Q21VydFLVH3TRQUabQu_ym0Zz7PgGX0-kHA/edit?usp=sharing"",""แผน!S88"")"),1)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IFERROR(__xludf.DUMMYFUNCTION("IMPORTRANGE(""https://docs.google.com/spreadsheets/d/1QqKyyYR6Q21VydFLVH3TRQUabQu_ym0Zz7PgGX0-kHA/edit?usp=sharing"",""แผน!T88"")"),0)</f>
        <v>0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>
      <c r="A118" s="977"/>
      <c r="B118" s="978" t="s">
        <v>65</v>
      </c>
      <c r="C118" s="1026"/>
      <c r="D118" s="980"/>
      <c r="E118" s="979"/>
      <c r="F118" s="979"/>
      <c r="G118" s="981"/>
      <c r="H118" s="205" t="s">
        <v>66</v>
      </c>
      <c r="I118" s="1027">
        <v>1</v>
      </c>
      <c r="J118" s="1027">
        <f>J438</f>
        <v>1</v>
      </c>
      <c r="K118" s="984">
        <f>IF(I118&gt;0,J118*100/I118,0)</f>
        <v>100</v>
      </c>
      <c r="L118" s="984"/>
      <c r="M118" s="984"/>
      <c r="N118" s="984"/>
      <c r="O118" s="984"/>
      <c r="P118" s="984"/>
    </row>
    <row r="119" spans="1:26" ht="19.5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IFERROR(__xludf.DUMMYFUNCTION("IMPORTRANGE(""https://docs.google.com/spreadsheets/d/1MeEWN-I1oV_STSDYn1IFDPWt_1FKiwhDph83XaGc0o0/edit?usp=sharing"",""งบพรบ!BA88"")"),0)</f>
        <v>0</v>
      </c>
      <c r="M124" s="887">
        <f ca="1">IFERROR(__xludf.DUMMYFUNCTION("IMPORTRANGE(""https://docs.google.com/spreadsheets/d/1MeEWN-I1oV_STSDYn1IFDPWt_1FKiwhDph83XaGc0o0/edit?usp=sharing"",""งบพรบ!BF88"")"),0)</f>
        <v>0</v>
      </c>
      <c r="N124" s="887">
        <f ca="1">IFERROR(__xludf.DUMMYFUNCTION("IMPORTRANGE(""https://docs.google.com/spreadsheets/d/1MeEWN-I1oV_STSDYn1IFDPWt_1FKiwhDph83XaGc0o0/edit?usp=sharing"",""งบพรบ!BH88"")"),0)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IFERROR(__xludf.DUMMYFUNCTION("IMPORTRANGE(""https://docs.google.com/spreadsheets/d/1MeEWN-I1oV_STSDYn1IFDPWt_1FKiwhDph83XaGc0o0/edit?usp=sharing"",""งบพรบ!BD88"")"),0)</f>
        <v>0</v>
      </c>
      <c r="M127" s="887">
        <f ca="1">IFERROR(__xludf.DUMMYFUNCTION("IMPORTRANGE(""https://docs.google.com/spreadsheets/d/1MeEWN-I1oV_STSDYn1IFDPWt_1FKiwhDph83XaGc0o0/edit?usp=sharing"",""งบพรบ!BG88"")"),0)</f>
        <v>0</v>
      </c>
      <c r="N127" s="887">
        <f ca="1">IFERROR(__xludf.DUMMYFUNCTION("IMPORTRANGE(""https://docs.google.com/spreadsheets/d/1MeEWN-I1oV_STSDYn1IFDPWt_1FKiwhDph83XaGc0o0/edit?usp=sharing"",""งบพรบ!BI88"")"),0)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2</v>
      </c>
      <c r="J130" s="982">
        <f t="shared" si="66"/>
        <v>2</v>
      </c>
      <c r="K130" s="983">
        <f t="shared" ref="K130:K131" ca="1" si="67">IF(I130&gt;0,J130*100/I130,0)</f>
        <v>100</v>
      </c>
      <c r="L130" s="984"/>
      <c r="M130" s="984"/>
      <c r="N130" s="984"/>
      <c r="O130" s="984"/>
      <c r="P130" s="984"/>
    </row>
    <row r="131" spans="1:26" ht="19.5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20</v>
      </c>
      <c r="J131" s="982">
        <f t="shared" ca="1" si="68"/>
        <v>20</v>
      </c>
      <c r="K131" s="983">
        <f t="shared" ca="1" si="67"/>
        <v>100</v>
      </c>
      <c r="L131" s="984"/>
      <c r="M131" s="984"/>
      <c r="N131" s="984"/>
      <c r="O131" s="984"/>
      <c r="P131" s="984"/>
    </row>
    <row r="132" spans="1:26" ht="19.5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911610</v>
      </c>
      <c r="M132" s="992">
        <f t="shared" ca="1" si="69"/>
        <v>743950</v>
      </c>
      <c r="N132" s="992">
        <f t="shared" ca="1" si="69"/>
        <v>542177.77</v>
      </c>
      <c r="O132" s="992">
        <f t="shared" ref="O132:O140" ca="1" si="70">IF(L132&gt;0,N132*100/L132,0)</f>
        <v>59.474750167286452</v>
      </c>
      <c r="P132" s="992">
        <f t="shared" ref="P132:P140" ca="1" si="71">IF(M132&gt;0,N132*100/M132,0)</f>
        <v>72.878253914913643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911610</v>
      </c>
      <c r="M134" s="887">
        <f t="shared" ca="1" si="72"/>
        <v>743950</v>
      </c>
      <c r="N134" s="887">
        <f t="shared" ca="1" si="72"/>
        <v>542177.77</v>
      </c>
      <c r="O134" s="887">
        <f t="shared" ca="1" si="70"/>
        <v>59.474750167286452</v>
      </c>
      <c r="P134" s="887">
        <f t="shared" ca="1" si="71"/>
        <v>72.878253914913643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705610</v>
      </c>
      <c r="M135" s="881">
        <f t="shared" ca="1" si="73"/>
        <v>543950</v>
      </c>
      <c r="N135" s="881">
        <f t="shared" ca="1" si="73"/>
        <v>342177.77</v>
      </c>
      <c r="O135" s="881">
        <f t="shared" ca="1" si="70"/>
        <v>48.493894644350277</v>
      </c>
      <c r="P135" s="881">
        <f t="shared" ca="1" si="71"/>
        <v>62.906107178968654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IFERROR(__xludf.DUMMYFUNCTION("IMPORTRANGE(""https://docs.google.com/spreadsheets/d/1MeEWN-I1oV_STSDYn1IFDPWt_1FKiwhDph83XaGc0o0/edit?usp=sharing"",""งบพรบ!BK88"")"),705610)</f>
        <v>705610</v>
      </c>
      <c r="M137" s="887">
        <f ca="1">IFERROR(__xludf.DUMMYFUNCTION("IMPORTRANGE(""https://docs.google.com/spreadsheets/d/1MeEWN-I1oV_STSDYn1IFDPWt_1FKiwhDph83XaGc0o0/edit?usp=sharing"",""งบพรบ!BP88"")"),543950)</f>
        <v>543950</v>
      </c>
      <c r="N137" s="887">
        <f ca="1">IFERROR(__xludf.DUMMYFUNCTION("IMPORTRANGE(""https://docs.google.com/spreadsheets/d/1MeEWN-I1oV_STSDYn1IFDPWt_1FKiwhDph83XaGc0o0/edit?usp=sharing"",""งบพรบ!BR88"")"),342177.77)</f>
        <v>342177.77</v>
      </c>
      <c r="O137" s="887">
        <f t="shared" ca="1" si="70"/>
        <v>48.493894644350277</v>
      </c>
      <c r="P137" s="887">
        <f t="shared" ca="1" si="71"/>
        <v>62.906107178968654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206000</v>
      </c>
      <c r="M138" s="881">
        <f t="shared" ca="1" si="74"/>
        <v>200000</v>
      </c>
      <c r="N138" s="881">
        <f t="shared" ca="1" si="74"/>
        <v>200000</v>
      </c>
      <c r="O138" s="881">
        <f t="shared" ca="1" si="70"/>
        <v>97.087378640776706</v>
      </c>
      <c r="P138" s="881">
        <f t="shared" ca="1" si="71"/>
        <v>100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IFERROR(__xludf.DUMMYFUNCTION("IMPORTRANGE(""https://docs.google.com/spreadsheets/d/1MeEWN-I1oV_STSDYn1IFDPWt_1FKiwhDph83XaGc0o0/edit?usp=sharing"",""งบพรบ!BN88"")"),206000)</f>
        <v>206000</v>
      </c>
      <c r="M140" s="887">
        <f ca="1">IFERROR(__xludf.DUMMYFUNCTION("IMPORTRANGE(""https://docs.google.com/spreadsheets/d/1MeEWN-I1oV_STSDYn1IFDPWt_1FKiwhDph83XaGc0o0/edit?usp=sharing"",""งบพรบ!BQ88"")"),200000)</f>
        <v>200000</v>
      </c>
      <c r="N140" s="887">
        <f ca="1">IFERROR(__xludf.DUMMYFUNCTION("IMPORTRANGE(""https://docs.google.com/spreadsheets/d/1MeEWN-I1oV_STSDYn1IFDPWt_1FKiwhDph83XaGc0o0/edit?usp=sharing"",""งบพรบ!BS88"")"),200000)</f>
        <v>200000</v>
      </c>
      <c r="O140" s="887">
        <f t="shared" ca="1" si="70"/>
        <v>97.087378640776706</v>
      </c>
      <c r="P140" s="887">
        <f t="shared" ca="1" si="71"/>
        <v>100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20</v>
      </c>
      <c r="J143" s="880">
        <f ca="1">IF(AND(J144&gt;=I144,J145&gt;=I145),J145,0)</f>
        <v>20</v>
      </c>
      <c r="K143" s="881">
        <f t="shared" ref="K143:K146" ca="1" si="75">IF(I143&gt;0,J143*100/I143,0)</f>
        <v>100</v>
      </c>
      <c r="L143" s="881"/>
      <c r="M143" s="881"/>
      <c r="N143" s="881"/>
      <c r="O143" s="881"/>
      <c r="P143" s="881"/>
    </row>
    <row r="144" spans="1:26" ht="19.5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IFERROR(__xludf.DUMMYFUNCTION("IMPORTRANGE(""https://docs.google.com/spreadsheets/d/1QqKyyYR6Q21VydFLVH3TRQUabQu_ym0Zz7PgGX0-kHA/edit?usp=sharing"",""แผน!U88"")"),10)</f>
        <v>10</v>
      </c>
      <c r="J144" s="1012">
        <v>10</v>
      </c>
      <c r="K144" s="881">
        <f t="shared" ca="1" si="75"/>
        <v>100</v>
      </c>
      <c r="L144" s="881"/>
      <c r="M144" s="881"/>
      <c r="N144" s="881"/>
      <c r="O144" s="881"/>
      <c r="P144" s="881"/>
    </row>
    <row r="145" spans="1:26" ht="19.5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IFERROR(__xludf.DUMMYFUNCTION("IMPORTRANGE(""https://docs.google.com/spreadsheets/d/1QqKyyYR6Q21VydFLVH3TRQUabQu_ym0Zz7PgGX0-kHA/edit?usp=sharing"",""แผน!V88"")"),20)</f>
        <v>20</v>
      </c>
      <c r="J145" s="1012">
        <v>20</v>
      </c>
      <c r="K145" s="881">
        <f t="shared" ca="1" si="75"/>
        <v>100</v>
      </c>
      <c r="L145" s="881"/>
      <c r="M145" s="881"/>
      <c r="N145" s="881"/>
      <c r="O145" s="881"/>
      <c r="P145" s="881"/>
    </row>
    <row r="146" spans="1:26" ht="19.5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IFERROR(__xludf.DUMMYFUNCTION("IMPORTRANGE(""https://docs.google.com/spreadsheets/d/1QqKyyYR6Q21VydFLVH3TRQUabQu_ym0Zz7PgGX0-kHA/edit?usp=sharing"",""แผน!W88"")"),2)</f>
        <v>2</v>
      </c>
      <c r="J146" s="1012">
        <v>2</v>
      </c>
      <c r="K146" s="881">
        <f t="shared" ca="1" si="75"/>
        <v>100</v>
      </c>
      <c r="L146" s="881"/>
      <c r="M146" s="881"/>
      <c r="N146" s="881"/>
      <c r="O146" s="881"/>
      <c r="P146" s="881"/>
    </row>
    <row r="147" spans="1:26" ht="19.5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20</v>
      </c>
      <c r="J148" s="982">
        <f t="shared" si="76"/>
        <v>20</v>
      </c>
      <c r="K148" s="983">
        <f ca="1">IF(I148&gt;0,J148*100/I148,0)</f>
        <v>100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10000</v>
      </c>
      <c r="M149" s="992">
        <f t="shared" ca="1" si="77"/>
        <v>10000</v>
      </c>
      <c r="N149" s="992">
        <f t="shared" ca="1" si="77"/>
        <v>10000</v>
      </c>
      <c r="O149" s="992">
        <f t="shared" ref="O149:O157" ca="1" si="78">IF(L149&gt;0,N149*100/L149,0)</f>
        <v>100</v>
      </c>
      <c r="P149" s="992">
        <f t="shared" ref="P149:P157" ca="1" si="79">IF(M149&gt;0,N149*100/M149,0)</f>
        <v>100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10000</v>
      </c>
      <c r="M151" s="887">
        <f t="shared" ca="1" si="80"/>
        <v>10000</v>
      </c>
      <c r="N151" s="887">
        <f t="shared" ca="1" si="80"/>
        <v>10000</v>
      </c>
      <c r="O151" s="887">
        <f t="shared" ca="1" si="78"/>
        <v>100</v>
      </c>
      <c r="P151" s="887">
        <f t="shared" ca="1" si="79"/>
        <v>100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10000</v>
      </c>
      <c r="M152" s="881">
        <f t="shared" ca="1" si="81"/>
        <v>10000</v>
      </c>
      <c r="N152" s="881">
        <f t="shared" ca="1" si="81"/>
        <v>10000</v>
      </c>
      <c r="O152" s="881">
        <f t="shared" ca="1" si="78"/>
        <v>100</v>
      </c>
      <c r="P152" s="881">
        <f t="shared" ca="1" si="79"/>
        <v>100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IFERROR(__xludf.DUMMYFUNCTION("IMPORTRANGE(""https://docs.google.com/spreadsheets/d/1MeEWN-I1oV_STSDYn1IFDPWt_1FKiwhDph83XaGc0o0/edit?usp=sharing"",""งบพรบ!BU88"")"),10000)</f>
        <v>10000</v>
      </c>
      <c r="M154" s="887">
        <f ca="1">IFERROR(__xludf.DUMMYFUNCTION("IMPORTRANGE(""https://docs.google.com/spreadsheets/d/1MeEWN-I1oV_STSDYn1IFDPWt_1FKiwhDph83XaGc0o0/edit?usp=sharing"",""งบพรบ!BZ88"")"),10000)</f>
        <v>10000</v>
      </c>
      <c r="N154" s="887">
        <f ca="1">IFERROR(__xludf.DUMMYFUNCTION("IMPORTRANGE(""https://docs.google.com/spreadsheets/d/1MeEWN-I1oV_STSDYn1IFDPWt_1FKiwhDph83XaGc0o0/edit?usp=sharing"",""งบพรบ!CB88"")"),10000)</f>
        <v>10000</v>
      </c>
      <c r="O154" s="887">
        <f t="shared" ca="1" si="78"/>
        <v>100</v>
      </c>
      <c r="P154" s="887">
        <f t="shared" ca="1" si="79"/>
        <v>100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IFERROR(__xludf.DUMMYFUNCTION("IMPORTRANGE(""https://docs.google.com/spreadsheets/d/1MeEWN-I1oV_STSDYn1IFDPWt_1FKiwhDph83XaGc0o0/edit?usp=sharing"",""งบพรบ!BX88"")"),0)</f>
        <v>0</v>
      </c>
      <c r="M157" s="887">
        <f ca="1">IFERROR(__xludf.DUMMYFUNCTION("IMPORTRANGE(""https://docs.google.com/spreadsheets/d/1MeEWN-I1oV_STSDYn1IFDPWt_1FKiwhDph83XaGc0o0/edit?usp=sharing"",""งบพรบ!CA88"")"),0)</f>
        <v>0</v>
      </c>
      <c r="N157" s="887">
        <f ca="1">IFERROR(__xludf.DUMMYFUNCTION("IMPORTRANGE(""https://docs.google.com/spreadsheets/d/1MeEWN-I1oV_STSDYn1IFDPWt_1FKiwhDph83XaGc0o0/edit?usp=sharing"",""งบพรบ!CC88"")"),0)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IFERROR(__xludf.DUMMYFUNCTION("IMPORTRANGE(""https://docs.google.com/spreadsheets/d/1QqKyyYR6Q21VydFLVH3TRQUabQu_ym0Zz7PgGX0-kHA/edit?usp=sharing"",""แผน!X88"")"),20)</f>
        <v>20</v>
      </c>
      <c r="J159" s="1012">
        <v>20</v>
      </c>
      <c r="K159" s="881">
        <f ca="1">IF(I159&gt;0,J159*100/I159,0)</f>
        <v>100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11</v>
      </c>
      <c r="J164" s="1075">
        <f t="shared" si="83"/>
        <v>11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22055</v>
      </c>
      <c r="M165" s="992">
        <f t="shared" ca="1" si="84"/>
        <v>38105</v>
      </c>
      <c r="N165" s="992">
        <f t="shared" ca="1" si="84"/>
        <v>38105</v>
      </c>
      <c r="O165" s="992">
        <f t="shared" ref="O165:O173" ca="1" si="85">IF(L165&gt;0,N165*100/L165,0)</f>
        <v>172.77261391974608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22055</v>
      </c>
      <c r="M167" s="887">
        <f t="shared" ca="1" si="87"/>
        <v>38105</v>
      </c>
      <c r="N167" s="887">
        <f t="shared" ca="1" si="87"/>
        <v>38105</v>
      </c>
      <c r="O167" s="887">
        <f t="shared" ca="1" si="85"/>
        <v>172.77261391974608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22055</v>
      </c>
      <c r="M168" s="881">
        <f t="shared" ca="1" si="88"/>
        <v>38105</v>
      </c>
      <c r="N168" s="881">
        <f t="shared" ca="1" si="88"/>
        <v>38105</v>
      </c>
      <c r="O168" s="881">
        <f t="shared" ca="1" si="85"/>
        <v>172.77261391974608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IFERROR(__xludf.DUMMYFUNCTION("IMPORTRANGE(""https://docs.google.com/spreadsheets/d/1MeEWN-I1oV_STSDYn1IFDPWt_1FKiwhDph83XaGc0o0/edit?usp=sharing"",""งบพรบ!CE88"")"),22055)</f>
        <v>22055</v>
      </c>
      <c r="M170" s="887">
        <f ca="1">IFERROR(__xludf.DUMMYFUNCTION("IMPORTRANGE(""https://docs.google.com/spreadsheets/d/1MeEWN-I1oV_STSDYn1IFDPWt_1FKiwhDph83XaGc0o0/edit?usp=sharing"",""งบพรบ!CJ88"")"),38105)</f>
        <v>38105</v>
      </c>
      <c r="N170" s="887">
        <f ca="1">IFERROR(__xludf.DUMMYFUNCTION("IMPORTRANGE(""https://docs.google.com/spreadsheets/d/1MeEWN-I1oV_STSDYn1IFDPWt_1FKiwhDph83XaGc0o0/edit?usp=sharing"",""งบพรบ!CL88"")"),38105)</f>
        <v>38105</v>
      </c>
      <c r="O170" s="887">
        <f t="shared" ca="1" si="85"/>
        <v>172.77261391974608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IFERROR(__xludf.DUMMYFUNCTION("IMPORTRANGE(""https://docs.google.com/spreadsheets/d/1MeEWN-I1oV_STSDYn1IFDPWt_1FKiwhDph83XaGc0o0/edit?usp=sharing"",""งบพรบ!CH88"")"),0)</f>
        <v>0</v>
      </c>
      <c r="M173" s="887">
        <f ca="1">IFERROR(__xludf.DUMMYFUNCTION("IMPORTRANGE(""https://docs.google.com/spreadsheets/d/1MeEWN-I1oV_STSDYn1IFDPWt_1FKiwhDph83XaGc0o0/edit?usp=sharing"",""งบพรบ!CK88"")"),0)</f>
        <v>0</v>
      </c>
      <c r="N173" s="887">
        <f ca="1">IFERROR(__xludf.DUMMYFUNCTION("IMPORTRANGE(""https://docs.google.com/spreadsheets/d/1MeEWN-I1oV_STSDYn1IFDPWt_1FKiwhDph83XaGc0o0/edit?usp=sharing"",""งบพรบ!CM88"")"),0)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11</v>
      </c>
      <c r="J174" s="1067">
        <f t="shared" si="90"/>
        <v>11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IFERROR(__xludf.DUMMYFUNCTION("IMPORTRANGE(""https://docs.google.com/spreadsheets/d/1QqKyyYR6Q21VydFLVH3TRQUabQu_ym0Zz7PgGX0-kHA/edit?usp=sharing"",""แผน!Y88"")"),11)</f>
        <v>11</v>
      </c>
      <c r="J176" s="1012">
        <v>11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64500</v>
      </c>
      <c r="M181" s="992">
        <f t="shared" ca="1" si="92"/>
        <v>59500</v>
      </c>
      <c r="N181" s="992">
        <f t="shared" ca="1" si="92"/>
        <v>55760</v>
      </c>
      <c r="O181" s="992">
        <f t="shared" ref="O181:O189" ca="1" si="93">IF(L181&gt;0,N181*100/L181,0)</f>
        <v>86.449612403100772</v>
      </c>
      <c r="P181" s="992">
        <f t="shared" ref="P181:P189" ca="1" si="94">IF(M181&gt;0,N181*100/M181,0)</f>
        <v>93.714285714285708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64500</v>
      </c>
      <c r="M183" s="887">
        <f t="shared" ca="1" si="95"/>
        <v>59500</v>
      </c>
      <c r="N183" s="887">
        <f t="shared" ca="1" si="95"/>
        <v>55760</v>
      </c>
      <c r="O183" s="887">
        <f t="shared" ca="1" si="93"/>
        <v>86.449612403100772</v>
      </c>
      <c r="P183" s="887">
        <f t="shared" ca="1" si="94"/>
        <v>93.714285714285708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64500</v>
      </c>
      <c r="M184" s="881">
        <f t="shared" ca="1" si="96"/>
        <v>59500</v>
      </c>
      <c r="N184" s="881">
        <f t="shared" ca="1" si="96"/>
        <v>55760</v>
      </c>
      <c r="O184" s="881">
        <f t="shared" ca="1" si="93"/>
        <v>86.449612403100772</v>
      </c>
      <c r="P184" s="881">
        <f t="shared" ca="1" si="94"/>
        <v>93.714285714285708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IFERROR(__xludf.DUMMYFUNCTION("IMPORTRANGE(""https://docs.google.com/spreadsheets/d/1MeEWN-I1oV_STSDYn1IFDPWt_1FKiwhDph83XaGc0o0/edit?usp=sharing"",""งบพรบ!CO88"")"),64500)</f>
        <v>64500</v>
      </c>
      <c r="M186" s="887">
        <f ca="1">IFERROR(__xludf.DUMMYFUNCTION("IMPORTRANGE(""https://docs.google.com/spreadsheets/d/1MeEWN-I1oV_STSDYn1IFDPWt_1FKiwhDph83XaGc0o0/edit?usp=sharing"",""งบพรบ!CT88"")"),59500)</f>
        <v>59500</v>
      </c>
      <c r="N186" s="887">
        <f ca="1">IFERROR(__xludf.DUMMYFUNCTION("IMPORTRANGE(""https://docs.google.com/spreadsheets/d/1MeEWN-I1oV_STSDYn1IFDPWt_1FKiwhDph83XaGc0o0/edit?usp=sharing"",""งบพรบ!CV88"")"),55760)</f>
        <v>55760</v>
      </c>
      <c r="O186" s="887">
        <f t="shared" ca="1" si="93"/>
        <v>86.449612403100772</v>
      </c>
      <c r="P186" s="887">
        <f t="shared" ca="1" si="94"/>
        <v>93.714285714285708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IFERROR(__xludf.DUMMYFUNCTION("IMPORTRANGE(""https://docs.google.com/spreadsheets/d/1MeEWN-I1oV_STSDYn1IFDPWt_1FKiwhDph83XaGc0o0/edit?usp=sharing"",""งบพรบ!CR88"")"),0)</f>
        <v>0</v>
      </c>
      <c r="M189" s="887">
        <f ca="1">IFERROR(__xludf.DUMMYFUNCTION("IMPORTRANGE(""https://docs.google.com/spreadsheets/d/1MeEWN-I1oV_STSDYn1IFDPWt_1FKiwhDph83XaGc0o0/edit?usp=sharing"",""งบพรบ!CU88"")"),0)</f>
        <v>0</v>
      </c>
      <c r="N189" s="887">
        <f ca="1">IFERROR(__xludf.DUMMYFUNCTION("IMPORTRANGE(""https://docs.google.com/spreadsheets/d/1MeEWN-I1oV_STSDYn1IFDPWt_1FKiwhDph83XaGc0o0/edit?usp=sharing"",""งบพรบ!CW88"")"),0)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IFERROR(__xludf.DUMMYFUNCTION("IMPORTRANGE(""https://docs.google.com/spreadsheets/d/1QqKyyYR6Q21VydFLVH3TRQUabQu_ym0Zz7PgGX0-kHA/edit?usp=sharing"",""แผน!Z88"")"),6000)</f>
        <v>6000</v>
      </c>
      <c r="M191" s="992"/>
      <c r="N191" s="1081">
        <v>2200</v>
      </c>
      <c r="O191" s="992">
        <f ca="1">IF(L191&gt;0,N191*100/L191,0)</f>
        <v>36.666666666666664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IFERROR(__xludf.DUMMYFUNCTION("IMPORTRANGE(""https://docs.google.com/spreadsheets/d/1QqKyyYR6Q21VydFLVH3TRQUabQu_ym0Zz7PgGX0-kHA/edit?usp=sharing"",""แผน!AC88"")"),4)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50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50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4</v>
      </c>
      <c r="J197" s="1078">
        <f t="shared" si="99"/>
        <v>4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52000</v>
      </c>
      <c r="M198" s="992"/>
      <c r="N198" s="992">
        <f>N199+N200+N201+N202</f>
        <v>50210</v>
      </c>
      <c r="O198" s="992">
        <f ca="1">IF(L198&gt;0,N198*100/L198,0)</f>
        <v>96.557692307692307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IFERROR(__xludf.DUMMYFUNCTION("IMPORTRANGE(""https://docs.google.com/spreadsheets/d/1QqKyyYR6Q21VydFLVH3TRQUabQu_ym0Zz7PgGX0-kHA/edit?usp=sharing"",""แผน!AE88"")"),4000)</f>
        <v>4000</v>
      </c>
      <c r="M199" s="881"/>
      <c r="N199" s="1085">
        <v>2210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IFERROR(__xludf.DUMMYFUNCTION("IMPORTRANGE(""https://docs.google.com/spreadsheets/d/1QqKyyYR6Q21VydFLVH3TRQUabQu_ym0Zz7PgGX0-kHA/edit?usp=sharing"",""แผน!AF88"")"),32000)</f>
        <v>32000</v>
      </c>
      <c r="M200" s="881"/>
      <c r="N200" s="1085">
        <v>32000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IFERROR(__xludf.DUMMYFUNCTION("IMPORTRANGE(""https://docs.google.com/spreadsheets/d/1QqKyyYR6Q21VydFLVH3TRQUabQu_ym0Zz7PgGX0-kHA/edit?usp=sharing"",""แผน!AG88"")"),16000)</f>
        <v>16000</v>
      </c>
      <c r="M201" s="881"/>
      <c r="N201" s="1085">
        <v>16000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IFERROR(__xludf.DUMMYFUNCTION("IMPORTRANGE(""https://docs.google.com/spreadsheets/d/1QqKyyYR6Q21VydFLVH3TRQUabQu_ym0Zz7PgGX0-kHA/edit?usp=sharing"",""แผน!AH88"")"),0)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IFERROR(__xludf.DUMMYFUNCTION("IMPORTRANGE(""https://docs.google.com/spreadsheets/d/1QqKyyYR6Q21VydFLVH3TRQUabQu_ym0Zz7PgGX0-kHA/edit?usp=sharing"",""แผน!AI88"")"),4)</f>
        <v>4</v>
      </c>
      <c r="J204" s="1012">
        <v>4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4</v>
      </c>
      <c r="J206" s="1012">
        <v>4</v>
      </c>
      <c r="K206" s="998">
        <f t="shared" ref="K206:K208" si="100">IF(I206&gt;0,J206*100/I206,0)</f>
        <v>100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IFERROR(__xludf.DUMMYFUNCTION("IMPORTRANGE(""https://docs.google.com/spreadsheets/d/1QqKyyYR6Q21VydFLVH3TRQUabQu_ym0Zz7PgGX0-kHA/edit?usp=sharing"",""แผน!AK88"")"),0)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IFERROR(__xludf.DUMMYFUNCTION("IMPORTRANGE(""https://docs.google.com/spreadsheets/d/1QqKyyYR6Q21VydFLVH3TRQUabQu_ym0Zz7PgGX0-kHA/edit?usp=sharing"",""แผน!AL88"")"),0)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IFERROR(__xludf.DUMMYFUNCTION("IMPORTRANGE(""https://docs.google.com/spreadsheets/d/1QqKyyYR6Q21VydFLVH3TRQUabQu_ym0Zz7PgGX0-kHA/edit?usp=sharing"",""แผน!AM88"")"),0)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IFERROR(__xludf.DUMMYFUNCTION("IMPORTRANGE(""https://docs.google.com/spreadsheets/d/1QqKyyYR6Q21VydFLVH3TRQUabQu_ym0Zz7PgGX0-kHA/edit?usp=sharing"",""แผน!AN88"")"),0)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IFERROR(__xludf.DUMMYFUNCTION("IMPORTRANGE(""https://docs.google.com/spreadsheets/d/1QqKyyYR6Q21VydFLVH3TRQUabQu_ym0Zz7PgGX0-kHA/edit?usp=sharing"",""แผน!AN88"")"),0)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10000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6500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IFERROR(__xludf.DUMMYFUNCTION("IMPORTRANGE(""https://docs.google.com/spreadsheets/d/1QqKyyYR6Q21VydFLVH3TRQUabQu_ym0Zz7PgGX0-kHA/edit?usp=sharing"",""แผน!AP88"")"),3000)</f>
        <v>3000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IFERROR(__xludf.DUMMYFUNCTION("IMPORTRANGE(""https://docs.google.com/spreadsheets/d/1QqKyyYR6Q21VydFLVH3TRQUabQu_ym0Zz7PgGX0-kHA/edit?usp=sharing"",""แผน!AQ88"")"),3500)</f>
        <v>3500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IFERROR(__xludf.DUMMYFUNCTION("IMPORTRANGE(""https://docs.google.com/spreadsheets/d/1QqKyyYR6Q21VydFLVH3TRQUabQu_ym0Zz7PgGX0-kHA/edit?usp=sharing"",""แผน!AR88"")"),0)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IFERROR(__xludf.DUMMYFUNCTION("IMPORTRANGE(""https://docs.google.com/spreadsheets/d/1QqKyyYR6Q21VydFLVH3TRQUabQu_ym0Zz7PgGX0-kHA/edit?usp=sharing"",""แผน!AT88"")"),10000)</f>
        <v>10000</v>
      </c>
      <c r="J223" s="1012">
        <v>10000</v>
      </c>
      <c r="K223" s="998">
        <f t="shared" ref="K223:K226" ca="1" si="104">IF(I223&gt;0,J223*100/I223,0)</f>
        <v>100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IFERROR(__xludf.DUMMYFUNCTION("IMPORTRANGE(""https://docs.google.com/spreadsheets/d/1QqKyyYR6Q21VydFLVH3TRQUabQu_ym0Zz7PgGX0-kHA/edit?usp=sharing"",""แผน!AT88"")"),10000)</f>
        <v>10000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IFERROR(__xludf.DUMMYFUNCTION("IMPORTRANGE(""https://docs.google.com/spreadsheets/d/1QqKyyYR6Q21VydFLVH3TRQUabQu_ym0Zz7PgGX0-kHA/edit?usp=sharing"",""แผน!AS88"")"),0)</f>
        <v>0</v>
      </c>
      <c r="J225" s="1012">
        <v>0</v>
      </c>
      <c r="K225" s="998">
        <f t="shared" ca="1" si="104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IFERROR(__xludf.DUMMYFUNCTION("IMPORTRANGE(""https://docs.google.com/spreadsheets/d/1QqKyyYR6Q21VydFLVH3TRQUabQu_ym0Zz7PgGX0-kHA/edit?usp=sharing"",""แผน!AV88"")"),0)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IFERROR(__xludf.DUMMYFUNCTION("IMPORTRANGE(""https://docs.google.com/spreadsheets/d/1QqKyyYR6Q21VydFLVH3TRQUabQu_ym0Zz7PgGX0-kHA/edit?usp=sharing"",""แผน!AW88"")"),0)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IFERROR(__xludf.DUMMYFUNCTION("IMPORTRANGE(""https://docs.google.com/spreadsheets/d/1QqKyyYR6Q21VydFLVH3TRQUabQu_ym0Zz7PgGX0-kHA/edit?usp=sharing"",""แผน!AX88"")"),0)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IFERROR(__xludf.DUMMYFUNCTION("IMPORTRANGE(""https://docs.google.com/spreadsheets/d/1QqKyyYR6Q21VydFLVH3TRQUabQu_ym0Zz7PgGX0-kHA/edit?usp=sharing"",""แผน!AY88"")"),0)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IFERROR(__xludf.DUMMYFUNCTION("IMPORTRANGE(""https://docs.google.com/spreadsheets/d/1QqKyyYR6Q21VydFLVH3TRQUabQu_ym0Zz7PgGX0-kHA/edit?usp=sharing"",""แผน!BE88"")"),0)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IFERROR(__xludf.DUMMYFUNCTION("IMPORTRANGE(""https://docs.google.com/spreadsheets/d/1QqKyyYR6Q21VydFLVH3TRQUabQu_ym0Zz7PgGX0-kHA/edit?usp=sharing"",""แผน!AZ88"")"),0)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IFERROR(__xludf.DUMMYFUNCTION("IMPORTRANGE(""https://docs.google.com/spreadsheets/d/1QqKyyYR6Q21VydFLVH3TRQUabQu_ym0Zz7PgGX0-kHA/edit?usp=sharing"",""แผน!BA88"")"),0)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IFERROR(__xludf.DUMMYFUNCTION("IMPORTRANGE(""https://docs.google.com/spreadsheets/d/1QqKyyYR6Q21VydFLVH3TRQUabQu_ym0Zz7PgGX0-kHA/edit?usp=sharing"",""แผน!BB88"")"),0)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IFERROR(__xludf.DUMMYFUNCTION("IMPORTRANGE(""https://docs.google.com/spreadsheets/d/1QqKyyYR6Q21VydFLVH3TRQUabQu_ym0Zz7PgGX0-kHA/edit?usp=sharing"",""แผน!BC88"")"),0)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IFERROR(__xludf.DUMMYFUNCTION("IMPORTRANGE(""https://docs.google.com/spreadsheets/d/1QqKyyYR6Q21VydFLVH3TRQUabQu_ym0Zz7PgGX0-kHA/edit?usp=sharing"",""แผน!BF88"")"),"")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20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25000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25000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25000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IFERROR(__xludf.DUMMYFUNCTION("IMPORTRANGE(""https://docs.google.com/spreadsheets/d/1MeEWN-I1oV_STSDYn1IFDPWt_1FKiwhDph83XaGc0o0/edit?usp=sharing"",""งบพรบ!CY88"")"),25000)</f>
        <v>25000</v>
      </c>
      <c r="M266" s="887">
        <f ca="1">IFERROR(__xludf.DUMMYFUNCTION("IMPORTRANGE(""https://docs.google.com/spreadsheets/d/1MeEWN-I1oV_STSDYn1IFDPWt_1FKiwhDph83XaGc0o0/edit?usp=sharing"",""งบพรบ!DD88"")"),0)</f>
        <v>0</v>
      </c>
      <c r="N266" s="887">
        <f ca="1">IFERROR(__xludf.DUMMYFUNCTION("IMPORTRANGE(""https://docs.google.com/spreadsheets/d/1MeEWN-I1oV_STSDYn1IFDPWt_1FKiwhDph83XaGc0o0/edit?usp=sharing"",""งบพรบ!DF88"")"),0)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IFERROR(__xludf.DUMMYFUNCTION("IMPORTRANGE(""https://docs.google.com/spreadsheets/d/1MeEWN-I1oV_STSDYn1IFDPWt_1FKiwhDph83XaGc0o0/edit?usp=sharing"",""งบพรบ!DB88"")"),0)</f>
        <v>0</v>
      </c>
      <c r="M269" s="887">
        <f ca="1">IFERROR(__xludf.DUMMYFUNCTION("IMPORTRANGE(""https://docs.google.com/spreadsheets/d/1MeEWN-I1oV_STSDYn1IFDPWt_1FKiwhDph83XaGc0o0/edit?usp=sharing"",""งบพรบ!DE88"")"),0)</f>
        <v>0</v>
      </c>
      <c r="N269" s="887">
        <f ca="1">IFERROR(__xludf.DUMMYFUNCTION("IMPORTRANGE(""https://docs.google.com/spreadsheets/d/1MeEWN-I1oV_STSDYn1IFDPWt_1FKiwhDph83XaGc0o0/edit?usp=sharing"",""งบพรบ!DG88"")"),0)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IFERROR(__xludf.DUMMYFUNCTION("IMPORTRANGE(""https://docs.google.com/spreadsheets/d/1QqKyyYR6Q21VydFLVH3TRQUabQu_ym0Zz7PgGX0-kHA/edit?usp=sharing"",""แผน!EA88"")"),20)</f>
        <v>20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10</v>
      </c>
      <c r="J275" s="1159">
        <f t="shared" ca="1" si="122"/>
        <v>10</v>
      </c>
      <c r="K275" s="1160">
        <f t="shared" ref="K275:K276" ca="1" si="123">IF(I275&gt;0,J275*100/I275,0)</f>
        <v>100</v>
      </c>
      <c r="L275" s="1161"/>
      <c r="M275" s="1161"/>
      <c r="N275" s="1161"/>
      <c r="O275" s="1161"/>
      <c r="P275" s="1161"/>
    </row>
    <row r="276" spans="1:26" ht="19.5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100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41010</v>
      </c>
      <c r="M277" s="992">
        <f t="shared" ca="1" si="125"/>
        <v>41010</v>
      </c>
      <c r="N277" s="992">
        <f t="shared" ca="1" si="125"/>
        <v>40060</v>
      </c>
      <c r="O277" s="992">
        <f t="shared" ref="O277:O285" ca="1" si="126">IF(L277&gt;0,N277*100/L277,0)</f>
        <v>97.683491831260667</v>
      </c>
      <c r="P277" s="992">
        <f t="shared" ref="P277:P285" ca="1" si="127">IF(M277&gt;0,N277*100/M277,0)</f>
        <v>97.683491831260667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41010</v>
      </c>
      <c r="M279" s="887">
        <f t="shared" ca="1" si="128"/>
        <v>41010</v>
      </c>
      <c r="N279" s="887">
        <f t="shared" ca="1" si="128"/>
        <v>40060</v>
      </c>
      <c r="O279" s="887">
        <f t="shared" ca="1" si="126"/>
        <v>97.683491831260667</v>
      </c>
      <c r="P279" s="887">
        <f t="shared" ca="1" si="127"/>
        <v>97.683491831260667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41010</v>
      </c>
      <c r="M280" s="881">
        <f t="shared" ca="1" si="129"/>
        <v>41010</v>
      </c>
      <c r="N280" s="881">
        <f t="shared" ca="1" si="129"/>
        <v>40060</v>
      </c>
      <c r="O280" s="881">
        <f t="shared" ca="1" si="126"/>
        <v>97.683491831260667</v>
      </c>
      <c r="P280" s="881">
        <f t="shared" ca="1" si="127"/>
        <v>97.683491831260667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IFERROR(__xludf.DUMMYFUNCTION("IMPORTRANGE(""https://docs.google.com/spreadsheets/d/1MeEWN-I1oV_STSDYn1IFDPWt_1FKiwhDph83XaGc0o0/edit?usp=sharing"",""งบพรบ!DI88"")"),41010)</f>
        <v>41010</v>
      </c>
      <c r="M282" s="887">
        <f ca="1">IFERROR(__xludf.DUMMYFUNCTION("IMPORTRANGE(""https://docs.google.com/spreadsheets/d/1MeEWN-I1oV_STSDYn1IFDPWt_1FKiwhDph83XaGc0o0/edit?usp=sharing"",""งบพรบ!DN88"")"),41010)</f>
        <v>41010</v>
      </c>
      <c r="N282" s="887">
        <f ca="1">IFERROR(__xludf.DUMMYFUNCTION("IMPORTRANGE(""https://docs.google.com/spreadsheets/d/1MeEWN-I1oV_STSDYn1IFDPWt_1FKiwhDph83XaGc0o0/edit?usp=sharing"",""งบพรบ!DP88"")"),40060)</f>
        <v>40060</v>
      </c>
      <c r="O282" s="887">
        <f t="shared" ca="1" si="126"/>
        <v>97.683491831260667</v>
      </c>
      <c r="P282" s="887">
        <f t="shared" ca="1" si="127"/>
        <v>97.683491831260667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IFERROR(__xludf.DUMMYFUNCTION("IMPORTRANGE(""https://docs.google.com/spreadsheets/d/1MeEWN-I1oV_STSDYn1IFDPWt_1FKiwhDph83XaGc0o0/edit?usp=sharing"",""งบพรบ!DL88"")"),0)</f>
        <v>0</v>
      </c>
      <c r="M285" s="887">
        <f ca="1">IFERROR(__xludf.DUMMYFUNCTION("IMPORTRANGE(""https://docs.google.com/spreadsheets/d/1MeEWN-I1oV_STSDYn1IFDPWt_1FKiwhDph83XaGc0o0/edit?usp=sharing"",""งบพรบ!DO88"")"),0)</f>
        <v>0</v>
      </c>
      <c r="N285" s="887">
        <f ca="1">IFERROR(__xludf.DUMMYFUNCTION("IMPORTRANGE(""https://docs.google.com/spreadsheets/d/1MeEWN-I1oV_STSDYn1IFDPWt_1FKiwhDph83XaGc0o0/edit?usp=sharing"",""งบพรบ!DQ88"")"),0)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IFERROR(__xludf.DUMMYFUNCTION("IMPORTRANGE(""https://docs.google.com/spreadsheets/d/1QqKyyYR6Q21VydFLVH3TRQUabQu_ym0Zz7PgGX0-kHA/edit?usp=sharing"",""แผน!EC88"")"),100)</f>
        <v>100</v>
      </c>
      <c r="J287" s="1012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IFERROR(__xludf.DUMMYFUNCTION("IMPORTRANGE(""https://docs.google.com/spreadsheets/d/1QqKyyYR6Q21VydFLVH3TRQUabQu_ym0Zz7PgGX0-kHA/edit?usp=sharing"",""แผน!EB88"")"),10)</f>
        <v>10</v>
      </c>
      <c r="J288" s="1019">
        <f ca="1">IF(AND(J291&gt;=I288,J294&gt;=I288),J294,0)</f>
        <v>10</v>
      </c>
      <c r="K288" s="1162">
        <f t="shared" ca="1" si="131"/>
        <v>100</v>
      </c>
      <c r="L288" s="998"/>
      <c r="M288" s="998"/>
      <c r="N288" s="998"/>
      <c r="O288" s="998"/>
      <c r="P288" s="998"/>
    </row>
    <row r="289" spans="1:26" ht="19.5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IFERROR(__xludf.DUMMYFUNCTION("IMPORTRANGE(""https://docs.google.com/spreadsheets/d/1QqKyyYR6Q21VydFLVH3TRQUabQu_ym0Zz7PgGX0-kHA/edit?usp=sharing"",""แผน!EB88"")"),10)</f>
        <v>10</v>
      </c>
      <c r="J290" s="1012">
        <v>10</v>
      </c>
      <c r="K290" s="998">
        <f t="shared" ref="K290:K291" ca="1" si="132">IF(I290&gt;0,J290*100/I290,0)</f>
        <v>100</v>
      </c>
      <c r="L290" s="998"/>
      <c r="M290" s="998"/>
      <c r="N290" s="998"/>
      <c r="O290" s="998"/>
      <c r="P290" s="998"/>
    </row>
    <row r="291" spans="1:26" ht="19.5">
      <c r="A291" s="1002"/>
      <c r="B291" s="1003"/>
      <c r="C291" s="1003"/>
      <c r="D291" s="1010"/>
      <c r="E291" s="1014" t="s">
        <v>133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IFERROR(__xludf.DUMMYFUNCTION("IMPORTRANGE(""https://docs.google.com/spreadsheets/d/1QqKyyYR6Q21VydFLVH3TRQUabQu_ym0Zz7PgGX0-kHA/edit?usp=sharing"",""แผน!EB88"")"),10)</f>
        <v>10</v>
      </c>
      <c r="J291" s="1012">
        <v>10</v>
      </c>
      <c r="K291" s="998">
        <f t="shared" ca="1" si="132"/>
        <v>100</v>
      </c>
      <c r="L291" s="998"/>
      <c r="M291" s="998"/>
      <c r="N291" s="998"/>
      <c r="O291" s="998"/>
      <c r="P291" s="998"/>
    </row>
    <row r="292" spans="1:26" ht="19.5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IFERROR(__xludf.DUMMYFUNCTION("IMPORTRANGE(""https://docs.google.com/spreadsheets/d/1QqKyyYR6Q21VydFLVH3TRQUabQu_ym0Zz7PgGX0-kHA/edit?usp=sharing"",""แผน!EB88"")"),10)</f>
        <v>10</v>
      </c>
      <c r="J293" s="1012">
        <v>10</v>
      </c>
      <c r="K293" s="998">
        <f t="shared" ref="K293:K294" ca="1" si="133">IF(I293&gt;0,J293*100/I293,0)</f>
        <v>100</v>
      </c>
      <c r="L293" s="998"/>
      <c r="M293" s="998"/>
      <c r="N293" s="998"/>
      <c r="O293" s="998"/>
      <c r="P293" s="998"/>
    </row>
    <row r="294" spans="1:26" ht="19.5">
      <c r="A294" s="1133"/>
      <c r="B294" s="1134"/>
      <c r="C294" s="1134"/>
      <c r="D294" s="1136"/>
      <c r="E294" s="1169" t="s">
        <v>136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IFERROR(__xludf.DUMMYFUNCTION("IMPORTRANGE(""https://docs.google.com/spreadsheets/d/1QqKyyYR6Q21VydFLVH3TRQUabQu_ym0Zz7PgGX0-kHA/edit?usp=sharing"",""แผน!EB88"")"),10)</f>
        <v>10</v>
      </c>
      <c r="J294" s="1171">
        <v>10</v>
      </c>
      <c r="K294" s="1139">
        <f t="shared" ca="1" si="133"/>
        <v>100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20</v>
      </c>
      <c r="J297" s="1190">
        <f t="shared" si="134"/>
        <v>20</v>
      </c>
      <c r="K297" s="1191">
        <f ca="1">IF(I297&gt;0,J297*100/I297,0)</f>
        <v>100</v>
      </c>
      <c r="L297" s="1192"/>
      <c r="M297" s="1192"/>
      <c r="N297" s="1192"/>
      <c r="O297" s="1192"/>
      <c r="P297" s="1192"/>
    </row>
    <row r="298" spans="1:26" ht="19.5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82400</v>
      </c>
      <c r="M298" s="992">
        <f t="shared" ca="1" si="135"/>
        <v>64400</v>
      </c>
      <c r="N298" s="992">
        <f t="shared" ca="1" si="135"/>
        <v>60400</v>
      </c>
      <c r="O298" s="992">
        <f t="shared" ref="O298:O306" ca="1" si="136">IF(L298&gt;0,N298*100/L298,0)</f>
        <v>73.300970873786412</v>
      </c>
      <c r="P298" s="992">
        <f t="shared" ref="P298:P306" ca="1" si="137">IF(M298&gt;0,N298*100/M298,0)</f>
        <v>93.788819875776397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82400</v>
      </c>
      <c r="M300" s="887">
        <f t="shared" ca="1" si="138"/>
        <v>64400</v>
      </c>
      <c r="N300" s="887">
        <f t="shared" ca="1" si="138"/>
        <v>60400</v>
      </c>
      <c r="O300" s="887">
        <f t="shared" ca="1" si="136"/>
        <v>73.300970873786412</v>
      </c>
      <c r="P300" s="887">
        <f t="shared" ca="1" si="137"/>
        <v>93.788819875776397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82400</v>
      </c>
      <c r="M301" s="881">
        <f t="shared" ca="1" si="139"/>
        <v>64400</v>
      </c>
      <c r="N301" s="881">
        <f t="shared" ca="1" si="139"/>
        <v>60400</v>
      </c>
      <c r="O301" s="881">
        <f t="shared" ca="1" si="136"/>
        <v>73.300970873786412</v>
      </c>
      <c r="P301" s="881">
        <f t="shared" ca="1" si="137"/>
        <v>93.788819875776397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IFERROR(__xludf.DUMMYFUNCTION("IMPORTRANGE(""https://docs.google.com/spreadsheets/d/1MeEWN-I1oV_STSDYn1IFDPWt_1FKiwhDph83XaGc0o0/edit?usp=sharing"",""งบพรบ!DS88"")"),82400)</f>
        <v>82400</v>
      </c>
      <c r="M303" s="887">
        <f ca="1">IFERROR(__xludf.DUMMYFUNCTION("IMPORTRANGE(""https://docs.google.com/spreadsheets/d/1MeEWN-I1oV_STSDYn1IFDPWt_1FKiwhDph83XaGc0o0/edit?usp=sharing"",""งบพรบ!DX88"")"),64400)</f>
        <v>64400</v>
      </c>
      <c r="N303" s="887">
        <f ca="1">IFERROR(__xludf.DUMMYFUNCTION("IMPORTRANGE(""https://docs.google.com/spreadsheets/d/1MeEWN-I1oV_STSDYn1IFDPWt_1FKiwhDph83XaGc0o0/edit?usp=sharing"",""งบพรบ!DZ88"")"),60400)</f>
        <v>60400</v>
      </c>
      <c r="O303" s="887">
        <f t="shared" ca="1" si="136"/>
        <v>73.300970873786412</v>
      </c>
      <c r="P303" s="887">
        <f t="shared" ca="1" si="137"/>
        <v>93.788819875776397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IFERROR(__xludf.DUMMYFUNCTION("IMPORTRANGE(""https://docs.google.com/spreadsheets/d/1MeEWN-I1oV_STSDYn1IFDPWt_1FKiwhDph83XaGc0o0/edit?usp=sharing"",""งบพรบ!DV88"")"),0)</f>
        <v>0</v>
      </c>
      <c r="M306" s="887">
        <f ca="1">IFERROR(__xludf.DUMMYFUNCTION("IMPORTRANGE(""https://docs.google.com/spreadsheets/d/1MeEWN-I1oV_STSDYn1IFDPWt_1FKiwhDph83XaGc0o0/edit?usp=sharing"",""งบพรบ!DY88"")"),0)</f>
        <v>0</v>
      </c>
      <c r="N306" s="887">
        <f ca="1">IFERROR(__xludf.DUMMYFUNCTION("IMPORTRANGE(""https://docs.google.com/spreadsheets/d/1MeEWN-I1oV_STSDYn1IFDPWt_1FKiwhDph83XaGc0o0/edit?usp=sharing"",""งบพรบ!EA88"")"),0)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1</v>
      </c>
      <c r="K308" s="881"/>
      <c r="L308" s="881"/>
      <c r="M308" s="881"/>
      <c r="N308" s="881"/>
      <c r="O308" s="881"/>
      <c r="P308" s="881"/>
    </row>
    <row r="309" spans="1:26" ht="18.75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IFERROR(__xludf.DUMMYFUNCTION("IMPORTRANGE(""https://docs.google.com/spreadsheets/d/1QqKyyYR6Q21VydFLVH3TRQUabQu_ym0Zz7PgGX0-kHA/edit?usp=sharing"",""แผน!ED88"")"),20)</f>
        <v>20</v>
      </c>
      <c r="J309" s="1012">
        <v>20</v>
      </c>
      <c r="K309" s="881">
        <f t="shared" ref="K309:K312" ca="1" si="141">IF(I309&gt;0,J309*100/I309,0)</f>
        <v>100</v>
      </c>
      <c r="L309" s="881"/>
      <c r="M309" s="881"/>
      <c r="N309" s="881"/>
      <c r="O309" s="881"/>
      <c r="P309" s="881"/>
    </row>
    <row r="310" spans="1:26" ht="18.75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IFERROR(__xludf.DUMMYFUNCTION("IMPORTRANGE(""https://docs.google.com/spreadsheets/d/1QqKyyYR6Q21VydFLVH3TRQUabQu_ym0Zz7PgGX0-kHA/edit?usp=sharing"",""แผน!ED88"")"),20)</f>
        <v>20</v>
      </c>
      <c r="J310" s="1012">
        <v>20</v>
      </c>
      <c r="K310" s="881">
        <f t="shared" ca="1" si="141"/>
        <v>100</v>
      </c>
      <c r="L310" s="881"/>
      <c r="M310" s="881"/>
      <c r="N310" s="881"/>
      <c r="O310" s="881"/>
      <c r="P310" s="881"/>
    </row>
    <row r="311" spans="1:26" ht="18.75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IFERROR(__xludf.DUMMYFUNCTION("IMPORTRANGE(""https://docs.google.com/spreadsheets/d/1QqKyyYR6Q21VydFLVH3TRQUabQu_ym0Zz7PgGX0-kHA/edit?usp=sharing"",""แผน!ED88"")"),20)</f>
        <v>20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IFERROR(__xludf.DUMMYFUNCTION("IMPORTRANGE(""https://docs.google.com/spreadsheets/d/1QqKyyYR6Q21VydFLVH3TRQUabQu_ym0Zz7PgGX0-kHA/edit?usp=sharing"",""แผน!EE88"")"),4)</f>
        <v>4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1</v>
      </c>
      <c r="J314" s="1190">
        <f t="shared" si="142"/>
        <v>1</v>
      </c>
      <c r="K314" s="1191">
        <f ca="1">IF(I314&gt;0,J314*100/I314,0)</f>
        <v>100</v>
      </c>
      <c r="L314" s="1192"/>
      <c r="M314" s="1192"/>
      <c r="N314" s="1192"/>
      <c r="O314" s="1192"/>
      <c r="P314" s="1192"/>
    </row>
    <row r="315" spans="1:26" ht="19.5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439000</v>
      </c>
      <c r="M315" s="992">
        <f t="shared" ca="1" si="143"/>
        <v>322500</v>
      </c>
      <c r="N315" s="992">
        <f t="shared" ca="1" si="143"/>
        <v>188190.61</v>
      </c>
      <c r="O315" s="992">
        <f t="shared" ref="O315:O323" ca="1" si="144">IF(L315&gt;0,N315*100/L315,0)</f>
        <v>42.86802050113895</v>
      </c>
      <c r="P315" s="992">
        <f t="shared" ref="P315:P323" ca="1" si="145">IF(M315&gt;0,N315*100/M315,0)</f>
        <v>58.353677519379843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439000</v>
      </c>
      <c r="M317" s="887">
        <f t="shared" ca="1" si="146"/>
        <v>322500</v>
      </c>
      <c r="N317" s="887">
        <f t="shared" ca="1" si="146"/>
        <v>188190.61</v>
      </c>
      <c r="O317" s="887">
        <f t="shared" ca="1" si="144"/>
        <v>42.86802050113895</v>
      </c>
      <c r="P317" s="887">
        <f t="shared" ca="1" si="145"/>
        <v>58.353677519379843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439000</v>
      </c>
      <c r="M318" s="881">
        <f t="shared" ca="1" si="147"/>
        <v>322500</v>
      </c>
      <c r="N318" s="881">
        <f t="shared" ca="1" si="147"/>
        <v>188190.61</v>
      </c>
      <c r="O318" s="881">
        <f t="shared" ca="1" si="144"/>
        <v>42.86802050113895</v>
      </c>
      <c r="P318" s="881">
        <f t="shared" ca="1" si="145"/>
        <v>58.353677519379843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IFERROR(__xludf.DUMMYFUNCTION("IMPORTRANGE(""https://docs.google.com/spreadsheets/d/1MeEWN-I1oV_STSDYn1IFDPWt_1FKiwhDph83XaGc0o0/edit?usp=sharing"",""งบพรบ!EC88"")"),439000)</f>
        <v>439000</v>
      </c>
      <c r="M320" s="887">
        <f ca="1">IFERROR(__xludf.DUMMYFUNCTION("IMPORTRANGE(""https://docs.google.com/spreadsheets/d/1MeEWN-I1oV_STSDYn1IFDPWt_1FKiwhDph83XaGc0o0/edit?usp=sharing"",""งบพรบ!EH88"")"),322500)</f>
        <v>322500</v>
      </c>
      <c r="N320" s="887">
        <f ca="1">IFERROR(__xludf.DUMMYFUNCTION("IMPORTRANGE(""https://docs.google.com/spreadsheets/d/1MeEWN-I1oV_STSDYn1IFDPWt_1FKiwhDph83XaGc0o0/edit?usp=sharing"",""งบพรบ!EJ88"")"),188190.61)</f>
        <v>188190.61</v>
      </c>
      <c r="O320" s="887">
        <f t="shared" ca="1" si="144"/>
        <v>42.86802050113895</v>
      </c>
      <c r="P320" s="887">
        <f t="shared" ca="1" si="145"/>
        <v>58.353677519379843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IFERROR(__xludf.DUMMYFUNCTION("IMPORTRANGE(""https://docs.google.com/spreadsheets/d/1MeEWN-I1oV_STSDYn1IFDPWt_1FKiwhDph83XaGc0o0/edit?usp=sharing"",""งบพรบ!EF88"")"),0)</f>
        <v>0</v>
      </c>
      <c r="M323" s="887">
        <f ca="1">IFERROR(__xludf.DUMMYFUNCTION("IMPORTRANGE(""https://docs.google.com/spreadsheets/d/1MeEWN-I1oV_STSDYn1IFDPWt_1FKiwhDph83XaGc0o0/edit?usp=sharing"",""งบพรบ!EI88"")"),0)</f>
        <v>0</v>
      </c>
      <c r="N323" s="887">
        <f ca="1">IFERROR(__xludf.DUMMYFUNCTION("IMPORTRANGE(""https://docs.google.com/spreadsheets/d/1MeEWN-I1oV_STSDYn1IFDPWt_1FKiwhDph83XaGc0o0/edit?usp=sharing"",""งบพรบ!EK88"")"),0)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IFERROR(__xludf.DUMMYFUNCTION("IMPORTRANGE(""https://docs.google.com/spreadsheets/d/1QqKyyYR6Q21VydFLVH3TRQUabQu_ym0Zz7PgGX0-kHA/edit?usp=sharing"",""แผน!EF88"")"),1)</f>
        <v>1</v>
      </c>
      <c r="J325" s="1012">
        <v>1</v>
      </c>
      <c r="K325" s="881">
        <f ca="1">IF(I325&gt;0,J325*100/I325,0)</f>
        <v>100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IFERROR(__xludf.DUMMYFUNCTION("IMPORTRANGE(""https://docs.google.com/spreadsheets/d/1QqKyyYR6Q21VydFLVH3TRQUabQu_ym0Zz7PgGX0-kHA/edit?usp=sharing"",""แผน!EG88"")"),4800)</f>
        <v>4800</v>
      </c>
      <c r="J327" s="1190">
        <f ca="1">J338+J341+J342+J343</f>
        <v>6696</v>
      </c>
      <c r="K327" s="1191">
        <f ca="1">IF(I327&gt;0,J327*100/I327,0)</f>
        <v>139.5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179000</v>
      </c>
      <c r="M328" s="992">
        <f t="shared" ca="1" si="149"/>
        <v>136750</v>
      </c>
      <c r="N328" s="992">
        <f t="shared" ca="1" si="149"/>
        <v>89627.58</v>
      </c>
      <c r="O328" s="992">
        <f t="shared" ref="O328:O336" ca="1" si="150">IF(L328&gt;0,N328*100/L328,0)</f>
        <v>50.071273743016761</v>
      </c>
      <c r="P328" s="992">
        <f t="shared" ref="P328:P336" ca="1" si="151">IF(M328&gt;0,N328*100/M328,0)</f>
        <v>65.541191956124308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179000</v>
      </c>
      <c r="M330" s="887">
        <f t="shared" ca="1" si="152"/>
        <v>136750</v>
      </c>
      <c r="N330" s="887">
        <f t="shared" ca="1" si="152"/>
        <v>89627.58</v>
      </c>
      <c r="O330" s="887">
        <f t="shared" ca="1" si="150"/>
        <v>50.071273743016761</v>
      </c>
      <c r="P330" s="887">
        <f t="shared" ca="1" si="151"/>
        <v>65.541191956124308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179000</v>
      </c>
      <c r="M331" s="881">
        <f t="shared" ca="1" si="153"/>
        <v>136750</v>
      </c>
      <c r="N331" s="881">
        <f t="shared" ca="1" si="153"/>
        <v>89627.58</v>
      </c>
      <c r="O331" s="881">
        <f t="shared" ca="1" si="150"/>
        <v>50.071273743016761</v>
      </c>
      <c r="P331" s="881">
        <f t="shared" ca="1" si="151"/>
        <v>65.541191956124308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IFERROR(__xludf.DUMMYFUNCTION("IMPORTRANGE(""https://docs.google.com/spreadsheets/d/1MeEWN-I1oV_STSDYn1IFDPWt_1FKiwhDph83XaGc0o0/edit?usp=sharing"",""งบพรบ!EM88"")"),179000)</f>
        <v>179000</v>
      </c>
      <c r="M333" s="887">
        <f ca="1">IFERROR(__xludf.DUMMYFUNCTION("IMPORTRANGE(""https://docs.google.com/spreadsheets/d/1MeEWN-I1oV_STSDYn1IFDPWt_1FKiwhDph83XaGc0o0/edit?usp=sharing"",""งบพรบ!ER88"")"),136750)</f>
        <v>136750</v>
      </c>
      <c r="N333" s="887">
        <f ca="1">IFERROR(__xludf.DUMMYFUNCTION("IMPORTRANGE(""https://docs.google.com/spreadsheets/d/1MeEWN-I1oV_STSDYn1IFDPWt_1FKiwhDph83XaGc0o0/edit?usp=sharing"",""งบพรบ!ET88"")"),89627.58)</f>
        <v>89627.58</v>
      </c>
      <c r="O333" s="887">
        <f t="shared" ca="1" si="150"/>
        <v>50.071273743016761</v>
      </c>
      <c r="P333" s="887">
        <f t="shared" ca="1" si="151"/>
        <v>65.541191956124308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IFERROR(__xludf.DUMMYFUNCTION("IMPORTRANGE(""https://docs.google.com/spreadsheets/d/1MeEWN-I1oV_STSDYn1IFDPWt_1FKiwhDph83XaGc0o0/edit?usp=sharing"",""งบพรบ!EP88"")"),0)</f>
        <v>0</v>
      </c>
      <c r="M336" s="887">
        <f ca="1">IFERROR(__xludf.DUMMYFUNCTION("IMPORTRANGE(""https://docs.google.com/spreadsheets/d/1MeEWN-I1oV_STSDYn1IFDPWt_1FKiwhDph83XaGc0o0/edit?usp=sharing"",""งบพรบ!ES88"")"),0)</f>
        <v>0</v>
      </c>
      <c r="N336" s="887">
        <f ca="1">IFERROR(__xludf.DUMMYFUNCTION("IMPORTRANGE(""https://docs.google.com/spreadsheets/d/1MeEWN-I1oV_STSDYn1IFDPWt_1FKiwhDph83XaGc0o0/edit?usp=sharing"",""งบพรบ!EU88"")"),0)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IFERROR(__xludf.DUMMYFUNCTION("IMPORTRANGE(""https://docs.google.com/spreadsheets/d/1QqKyyYR6Q21VydFLVH3TRQUabQu_ym0Zz7PgGX0-kHA/edit?usp=sharing"",""แผน!EG88"")"),4800)</f>
        <v>4800</v>
      </c>
      <c r="J338" s="880">
        <f ca="1">IFERROR(__xludf.DUMMYFUNCTION("IMPORTRANGE(""https://docs.google.com/spreadsheets/d/1kVcqe37tkHyjCSG3S0O1AXqVkqjo8mSIZil3BcpIysc/edit?usp=sharing"",""ศูนย์!D88"")"),6377)</f>
        <v>6377</v>
      </c>
      <c r="K338" s="881">
        <f ca="1">IF(I338&gt;0,J338*100/I338,0)</f>
        <v>132.85416666666666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IFERROR(__xludf.DUMMYFUNCTION("IMPORTRANGE(""https://docs.google.com/spreadsheets/d/1QqKyyYR6Q21VydFLVH3TRQUabQu_ym0Zz7PgGX0-kHA/edit?usp=sharing"",""แผน!EH88"")"),8)</f>
        <v>8</v>
      </c>
      <c r="J340" s="880">
        <f ca="1">IFERROR(__xludf.DUMMYFUNCTION("IMPORTRANGE(""https://docs.google.com/spreadsheets/d/1kVcqe37tkHyjCSG3S0O1AXqVkqjo8mSIZil3BcpIysc/edit?usp=sharing"",""ศูนย์!E88"")"),5)</f>
        <v>5</v>
      </c>
      <c r="K340" s="881">
        <f ca="1">IF(I340&gt;0,J340*100/I340,0)</f>
        <v>62.5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IFERROR(__xludf.DUMMYFUNCTION("IMPORTRANGE(""https://docs.google.com/spreadsheets/d/1kVcqe37tkHyjCSG3S0O1AXqVkqjo8mSIZil3BcpIysc/edit?usp=sharing"",""ศูนย์!F88"")"),306)</f>
        <v>306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IFERROR(__xludf.DUMMYFUNCTION("IMPORTRANGE(""https://docs.google.com/spreadsheets/d/1kVcqe37tkHyjCSG3S0O1AXqVkqjo8mSIZil3BcpIysc/edit?usp=sharing"",""ศูนย์!G88"")"),0)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IFERROR(__xludf.DUMMYFUNCTION("IMPORTRANGE(""https://docs.google.com/spreadsheets/d/1kVcqe37tkHyjCSG3S0O1AXqVkqjo8mSIZil3BcpIysc/edit?usp=sharing"",""ศูนย์!H88"")"),13)</f>
        <v>13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1438760</v>
      </c>
      <c r="M345" s="992">
        <f t="shared" ca="1" si="155"/>
        <v>1165770</v>
      </c>
      <c r="N345" s="992">
        <f t="shared" ca="1" si="155"/>
        <v>861658.27</v>
      </c>
      <c r="O345" s="992">
        <f t="shared" ref="O345:O353" ca="1" si="156">IF(L345&gt;0,N345*100/L345,0)</f>
        <v>59.888950902165753</v>
      </c>
      <c r="P345" s="992">
        <f t="shared" ref="P345:P353" ca="1" si="157">IF(M345&gt;0,N345*100/M345,0)</f>
        <v>73.913230740197463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1438760</v>
      </c>
      <c r="M347" s="887">
        <f t="shared" ca="1" si="158"/>
        <v>1165770</v>
      </c>
      <c r="N347" s="887">
        <f t="shared" ca="1" si="158"/>
        <v>861658.27</v>
      </c>
      <c r="O347" s="887">
        <f t="shared" ca="1" si="156"/>
        <v>59.888950902165753</v>
      </c>
      <c r="P347" s="887">
        <f t="shared" ca="1" si="157"/>
        <v>73.913230740197463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1287160</v>
      </c>
      <c r="M348" s="881">
        <f t="shared" ca="1" si="159"/>
        <v>1035370</v>
      </c>
      <c r="N348" s="881">
        <f t="shared" ca="1" si="159"/>
        <v>731258.27</v>
      </c>
      <c r="O348" s="881">
        <f t="shared" ca="1" si="156"/>
        <v>56.811761552565336</v>
      </c>
      <c r="P348" s="881">
        <f t="shared" ca="1" si="157"/>
        <v>70.627724388382902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IFERROR(__xludf.DUMMYFUNCTION("IMPORTRANGE(""https://docs.google.com/spreadsheets/d/1MeEWN-I1oV_STSDYn1IFDPWt_1FKiwhDph83XaGc0o0/edit?usp=sharing"",""งบพรบ!EW88"")"),1287160)</f>
        <v>1287160</v>
      </c>
      <c r="M350" s="887">
        <f ca="1">IFERROR(__xludf.DUMMYFUNCTION("IMPORTRANGE(""https://docs.google.com/spreadsheets/d/1MeEWN-I1oV_STSDYn1IFDPWt_1FKiwhDph83XaGc0o0/edit?usp=sharing"",""งบพรบ!FB88"")"),1035370)</f>
        <v>1035370</v>
      </c>
      <c r="N350" s="887">
        <f ca="1">IFERROR(__xludf.DUMMYFUNCTION("IMPORTRANGE(""https://docs.google.com/spreadsheets/d/1MeEWN-I1oV_STSDYn1IFDPWt_1FKiwhDph83XaGc0o0/edit?usp=sharing"",""งบพรบ!FD88"")"),731258.27)</f>
        <v>731258.27</v>
      </c>
      <c r="O350" s="887">
        <f t="shared" ca="1" si="156"/>
        <v>56.811761552565336</v>
      </c>
      <c r="P350" s="887">
        <f t="shared" ca="1" si="157"/>
        <v>70.627724388382902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151600</v>
      </c>
      <c r="M351" s="881">
        <f t="shared" ca="1" si="160"/>
        <v>130400</v>
      </c>
      <c r="N351" s="881">
        <f t="shared" ca="1" si="160"/>
        <v>130400</v>
      </c>
      <c r="O351" s="881">
        <f t="shared" ca="1" si="156"/>
        <v>86.01583113456465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IFERROR(__xludf.DUMMYFUNCTION("IMPORTRANGE(""https://docs.google.com/spreadsheets/d/1MeEWN-I1oV_STSDYn1IFDPWt_1FKiwhDph83XaGc0o0/edit?usp=sharing"",""งบพรบ!EZ88"")"),151600)</f>
        <v>151600</v>
      </c>
      <c r="M353" s="887">
        <f ca="1">IFERROR(__xludf.DUMMYFUNCTION("IMPORTRANGE(""https://docs.google.com/spreadsheets/d/1MeEWN-I1oV_STSDYn1IFDPWt_1FKiwhDph83XaGc0o0/edit?usp=sharing"",""งบพรบ!FC88"")"),130400)</f>
        <v>130400</v>
      </c>
      <c r="N353" s="887">
        <f ca="1">IFERROR(__xludf.DUMMYFUNCTION("IMPORTRANGE(""https://docs.google.com/spreadsheets/d/1MeEWN-I1oV_STSDYn1IFDPWt_1FKiwhDph83XaGc0o0/edit?usp=sharing"",""งบพรบ!FE88"")"),130400)</f>
        <v>130400</v>
      </c>
      <c r="O353" s="887">
        <f t="shared" ca="1" si="156"/>
        <v>86.01583113456465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IFERROR(__xludf.DUMMYFUNCTION("IMPORTRANGE(""https://docs.google.com/spreadsheets/d/1QqKyyYR6Q21VydFLVH3TRQUabQu_ym0Zz7PgGX0-kHA/edit?usp=sharing"",""แผน!EP88"")"),500)</f>
        <v>500</v>
      </c>
      <c r="J355" s="1206">
        <f ca="1">J362</f>
        <v>186</v>
      </c>
      <c r="K355" s="1207">
        <f ca="1">IF(I355&gt;0,J355*100/I355,0)</f>
        <v>37.200000000000003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IFERROR(__xludf.DUMMYFUNCTION("IMPORTRANGE(""https://docs.google.com/spreadsheets/d/1XWAQStnk-4SwqDmLtmXYiTMKHgktTP8We1SCoS47DrQ/edit?usp=sharing"",""จัดที่ดิน!W88"")"),405)</f>
        <v>405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IFERROR(__xludf.DUMMYFUNCTION("IMPORTRANGE(""https://docs.google.com/spreadsheets/d/1QqKyyYR6Q21VydFLVH3TRQUabQu_ym0Zz7PgGX0-kHA/edit?usp=sharing"",""แผน!EO88"")"),5000)</f>
        <v>5000</v>
      </c>
      <c r="J359" s="880">
        <f ca="1">IFERROR(__xludf.DUMMYFUNCTION("IMPORTRANGE(""https://docs.google.com/spreadsheets/d/1XWAQStnk-4SwqDmLtmXYiTMKHgktTP8We1SCoS47DrQ/edit?usp=sharing"",""จัดที่ดิน!X88"")"),4291.58)</f>
        <v>4291.58</v>
      </c>
      <c r="K359" s="881">
        <f t="shared" ca="1" si="161"/>
        <v>85.831599999999995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IFERROR(__xludf.DUMMYFUNCTION("IMPORTRANGE(""https://docs.google.com/spreadsheets/d/1QqKyyYR6Q21VydFLVH3TRQUabQu_ym0Zz7PgGX0-kHA/edit?usp=sharing"",""แผน!EP88"")"),500)</f>
        <v>500</v>
      </c>
      <c r="J360" s="880">
        <f ca="1">IFERROR(__xludf.DUMMYFUNCTION("IMPORTRANGE(""https://docs.google.com/spreadsheets/d/1XWAQStnk-4SwqDmLtmXYiTMKHgktTP8We1SCoS47DrQ/edit?usp=sharing"",""จัดที่ดิน!Y88"")"),290)</f>
        <v>290</v>
      </c>
      <c r="K360" s="881">
        <f t="shared" ca="1" si="161"/>
        <v>58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IFERROR(__xludf.DUMMYFUNCTION("IMPORTRANGE(""https://docs.google.com/spreadsheets/d/1XWAQStnk-4SwqDmLtmXYiTMKHgktTP8We1SCoS47DrQ/edit?usp=sharing"",""จัดที่ดิน!Z88"")"),2762.59)</f>
        <v>2762.59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IFERROR(__xludf.DUMMYFUNCTION("IMPORTRANGE(""https://docs.google.com/spreadsheets/d/1QqKyyYR6Q21VydFLVH3TRQUabQu_ym0Zz7PgGX0-kHA/edit?usp=sharing"",""แผน!EP88"")"),500)</f>
        <v>500</v>
      </c>
      <c r="J362" s="880">
        <f ca="1">IFERROR(__xludf.DUMMYFUNCTION("IMPORTRANGE(""https://docs.google.com/spreadsheets/d/1XWAQStnk-4SwqDmLtmXYiTMKHgktTP8We1SCoS47DrQ/edit?usp=sharing"",""จัดที่ดิน!AA88"")"),186)</f>
        <v>186</v>
      </c>
      <c r="K362" s="881">
        <f t="shared" ca="1" si="161"/>
        <v>37.200000000000003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IFERROR(__xludf.DUMMYFUNCTION("IMPORTRANGE(""https://docs.google.com/spreadsheets/d/1XWAQStnk-4SwqDmLtmXYiTMKHgktTP8We1SCoS47DrQ/edit?usp=sharing"",""จัดที่ดิน!AB88"")"),1741.31)</f>
        <v>1741.31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800</v>
      </c>
      <c r="J364" s="1219">
        <f t="shared" ca="1" si="162"/>
        <v>710</v>
      </c>
      <c r="K364" s="1220">
        <f t="shared" ca="1" si="161"/>
        <v>88.75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IFERROR(__xludf.DUMMYFUNCTION("IMPORTRANGE(""https://docs.google.com/spreadsheets/d/1QqKyyYR6Q21VydFLVH3TRQUabQu_ym0Zz7PgGX0-kHA/edit?usp=sharing"",""แผน!EJ88"")"),150)</f>
        <v>150</v>
      </c>
      <c r="J365" s="1227">
        <f ca="1">J372</f>
        <v>109</v>
      </c>
      <c r="K365" s="1228">
        <f t="shared" ca="1" si="161"/>
        <v>72.666666666666671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IFERROR(__xludf.DUMMYFUNCTION("IMPORTRANGE(""https://docs.google.com/spreadsheets/d/1XWAQStnk-4SwqDmLtmXYiTMKHgktTP8We1SCoS47DrQ/edit?usp=sharing"",""จัดที่ดิน!E88"")"),159)</f>
        <v>159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IFERROR(__xludf.DUMMYFUNCTION("IMPORTRANGE(""https://docs.google.com/spreadsheets/d/1QqKyyYR6Q21VydFLVH3TRQUabQu_ym0Zz7PgGX0-kHA/edit?usp=sharing"",""แผน!EI88"")"),1500)</f>
        <v>1500</v>
      </c>
      <c r="J369" s="880">
        <f ca="1">IFERROR(__xludf.DUMMYFUNCTION("IMPORTRANGE(""https://docs.google.com/spreadsheets/d/1XWAQStnk-4SwqDmLtmXYiTMKHgktTP8We1SCoS47DrQ/edit?usp=sharing"",""จัดที่ดิน!F88"")"),1549.31)</f>
        <v>1549.31</v>
      </c>
      <c r="K369" s="881">
        <f t="shared" ca="1" si="163"/>
        <v>103.28733333333334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IFERROR(__xludf.DUMMYFUNCTION("IMPORTRANGE(""https://docs.google.com/spreadsheets/d/1QqKyyYR6Q21VydFLVH3TRQUabQu_ym0Zz7PgGX0-kHA/edit?usp=sharing"",""แผน!EJ88"")"),150)</f>
        <v>150</v>
      </c>
      <c r="J370" s="880">
        <f ca="1">IFERROR(__xludf.DUMMYFUNCTION("IMPORTRANGE(""https://docs.google.com/spreadsheets/d/1XWAQStnk-4SwqDmLtmXYiTMKHgktTP8We1SCoS47DrQ/edit?usp=sharing"",""จัดที่ดิน!G88"")"),110)</f>
        <v>110</v>
      </c>
      <c r="K370" s="881">
        <f t="shared" ca="1" si="163"/>
        <v>73.333333333333329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IFERROR(__xludf.DUMMYFUNCTION("IMPORTRANGE(""https://docs.google.com/spreadsheets/d/1XWAQStnk-4SwqDmLtmXYiTMKHgktTP8We1SCoS47DrQ/edit?usp=sharing"",""จัดที่ดิน!H88"")"),954.91)</f>
        <v>954.91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IFERROR(__xludf.DUMMYFUNCTION("IMPORTRANGE(""https://docs.google.com/spreadsheets/d/1QqKyyYR6Q21VydFLVH3TRQUabQu_ym0Zz7PgGX0-kHA/edit?usp=sharing"",""แผน!EJ88"")"),150)</f>
        <v>150</v>
      </c>
      <c r="J372" s="880">
        <f ca="1">IFERROR(__xludf.DUMMYFUNCTION("IMPORTRANGE(""https://docs.google.com/spreadsheets/d/1XWAQStnk-4SwqDmLtmXYiTMKHgktTP8We1SCoS47DrQ/edit?usp=sharing"",""จัดที่ดิน!I88"")"),109)</f>
        <v>109</v>
      </c>
      <c r="K372" s="881">
        <f t="shared" ca="1" si="163"/>
        <v>72.666666666666671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IFERROR(__xludf.DUMMYFUNCTION("IMPORTRANGE(""https://docs.google.com/spreadsheets/d/1XWAQStnk-4SwqDmLtmXYiTMKHgktTP8We1SCoS47DrQ/edit?usp=sharing"",""จัดที่ดิน!J88"")"),951.73)</f>
        <v>951.73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IFERROR(__xludf.DUMMYFUNCTION("IMPORTRANGE(""https://docs.google.com/spreadsheets/d/1QqKyyYR6Q21VydFLVH3TRQUabQu_ym0Zz7PgGX0-kHA/edit?usp=sharing"",""แผน!EU88"")"),650)</f>
        <v>650</v>
      </c>
      <c r="J374" s="1227">
        <f ca="1">J381</f>
        <v>601</v>
      </c>
      <c r="K374" s="1228">
        <f t="shared" ca="1" si="163"/>
        <v>92.461538461538467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IFERROR(__xludf.DUMMYFUNCTION("IMPORTRANGE(""https://docs.google.com/spreadsheets/d/1XWAQStnk-4SwqDmLtmXYiTMKHgktTP8We1SCoS47DrQ/edit?usp=sharing"",""จัดที่ดิน!AH88"")"),246)</f>
        <v>246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IFERROR(__xludf.DUMMYFUNCTION("IMPORTRANGE(""https://docs.google.com/spreadsheets/d/1QqKyyYR6Q21VydFLVH3TRQUabQu_ym0Zz7PgGX0-kHA/edit?usp=sharing"",""แผน!ET88"")"),3500)</f>
        <v>3500</v>
      </c>
      <c r="J378" s="880">
        <f ca="1">IFERROR(__xludf.DUMMYFUNCTION("IMPORTRANGE(""https://docs.google.com/spreadsheets/d/1XWAQStnk-4SwqDmLtmXYiTMKHgktTP8We1SCoS47DrQ/edit?usp=sharing"",""จัดที่ดิน!AI88"")"),2742.27)</f>
        <v>2742.27</v>
      </c>
      <c r="K378" s="881">
        <f t="shared" ca="1" si="164"/>
        <v>78.350571428571428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IFERROR(__xludf.DUMMYFUNCTION("IMPORTRANGE(""https://docs.google.com/spreadsheets/d/1QqKyyYR6Q21VydFLVH3TRQUabQu_ym0Zz7PgGX0-kHA/edit?usp=sharing"",""แผน!EU88"")"),650)</f>
        <v>650</v>
      </c>
      <c r="J379" s="880">
        <f ca="1">IFERROR(__xludf.DUMMYFUNCTION("IMPORTRANGE(""https://docs.google.com/spreadsheets/d/1XWAQStnk-4SwqDmLtmXYiTMKHgktTP8We1SCoS47DrQ/edit?usp=sharing"",""จัดที่ดิน!AJ88"")"),704)</f>
        <v>704</v>
      </c>
      <c r="K379" s="881">
        <f t="shared" ca="1" si="164"/>
        <v>108.30769230769231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IFERROR(__xludf.DUMMYFUNCTION("IMPORTRANGE(""https://docs.google.com/spreadsheets/d/1XWAQStnk-4SwqDmLtmXYiTMKHgktTP8We1SCoS47DrQ/edit?usp=sharing"",""จัดที่ดิน!AK88"")"),9729.08)</f>
        <v>9729.08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IFERROR(__xludf.DUMMYFUNCTION("IMPORTRANGE(""https://docs.google.com/spreadsheets/d/1QqKyyYR6Q21VydFLVH3TRQUabQu_ym0Zz7PgGX0-kHA/edit?usp=sharing"",""แผน!EU88"")"),650)</f>
        <v>650</v>
      </c>
      <c r="J381" s="880">
        <f ca="1">IFERROR(__xludf.DUMMYFUNCTION("IMPORTRANGE(""https://docs.google.com/spreadsheets/d/1XWAQStnk-4SwqDmLtmXYiTMKHgktTP8We1SCoS47DrQ/edit?usp=sharing"",""จัดที่ดิน!AL88"")"),601)</f>
        <v>601</v>
      </c>
      <c r="K381" s="881">
        <f t="shared" ca="1" si="164"/>
        <v>92.461538461538467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IFERROR(__xludf.DUMMYFUNCTION("IMPORTRANGE(""https://docs.google.com/spreadsheets/d/1XWAQStnk-4SwqDmLtmXYiTMKHgktTP8We1SCoS47DrQ/edit?usp=sharing"",""จัดที่ดิน!AM88"")"),8710.98)</f>
        <v>8710.98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IFERROR(__xludf.DUMMYFUNCTION("IMPORTRANGE(""https://docs.google.com/spreadsheets/d/1QqKyyYR6Q21VydFLVH3TRQUabQu_ym0Zz7PgGX0-kHA/edit?usp=sharing"",""แผน!EW88"")"),150)</f>
        <v>150</v>
      </c>
      <c r="J385" s="1138">
        <f ca="1">IFERROR(__xludf.DUMMYFUNCTION("IMPORTRANGE(""https://docs.google.com/spreadsheets/d/1XWAQStnk-4SwqDmLtmXYiTMKHgktTP8We1SCoS47DrQ/edit?usp=sharing"",""จัดที่ดิน!AP88"")"),77)</f>
        <v>77</v>
      </c>
      <c r="K385" s="1239">
        <f ca="1">IF(I385&gt;0,J385*100/I385,0)</f>
        <v>51.333333333333336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IFERROR(__xludf.DUMMYFUNCTION("IMPORTRANGE(""https://docs.google.com/spreadsheets/d/1MeEWN-I1oV_STSDYn1IFDPWt_1FKiwhDph83XaGc0o0/edit?usp=sharing"",""งบพรบ!FG88"")"),0)</f>
        <v>0</v>
      </c>
      <c r="M394" s="887">
        <f ca="1">IFERROR(__xludf.DUMMYFUNCTION("IMPORTRANGE(""https://docs.google.com/spreadsheets/d/1MeEWN-I1oV_STSDYn1IFDPWt_1FKiwhDph83XaGc0o0/edit?usp=sharing"",""งบพรบ!FL88"")"),0)</f>
        <v>0</v>
      </c>
      <c r="N394" s="887">
        <f ca="1">IFERROR(__xludf.DUMMYFUNCTION("IMPORTRANGE(""https://docs.google.com/spreadsheets/d/1MeEWN-I1oV_STSDYn1IFDPWt_1FKiwhDph83XaGc0o0/edit?usp=sharing"",""งบพรบ!FN88"")"),0)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IFERROR(__xludf.DUMMYFUNCTION("IMPORTRANGE(""https://docs.google.com/spreadsheets/d/1MeEWN-I1oV_STSDYn1IFDPWt_1FKiwhDph83XaGc0o0/edit?usp=sharing"",""งบพรบ!FJ88"")"),0)</f>
        <v>0</v>
      </c>
      <c r="M397" s="887">
        <f ca="1">IFERROR(__xludf.DUMMYFUNCTION("IMPORTRANGE(""https://docs.google.com/spreadsheets/d/1MeEWN-I1oV_STSDYn1IFDPWt_1FKiwhDph83XaGc0o0/edit?usp=sharing"",""งบพรบ!FM88"")"),0)</f>
        <v>0</v>
      </c>
      <c r="N397" s="887">
        <f ca="1">IFERROR(__xludf.DUMMYFUNCTION("IMPORTRANGE(""https://docs.google.com/spreadsheets/d/1MeEWN-I1oV_STSDYn1IFDPWt_1FKiwhDph83XaGc0o0/edit?usp=sharing"",""งบพรบ!FO88"")"),0)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IFERROR(__xludf.DUMMYFUNCTION("IMPORTRANGE(""https://docs.google.com/spreadsheets/d/1MeEWN-I1oV_STSDYn1IFDPWt_1FKiwhDph83XaGc0o0/edit?usp=sharing"",""งบพรบ!FQ88"")"),0)</f>
        <v>0</v>
      </c>
      <c r="M407" s="887">
        <f ca="1">IFERROR(__xludf.DUMMYFUNCTION("IMPORTRANGE(""https://docs.google.com/spreadsheets/d/1MeEWN-I1oV_STSDYn1IFDPWt_1FKiwhDph83XaGc0o0/edit?usp=sharing"",""งบพรบ!FV88"")"),0)</f>
        <v>0</v>
      </c>
      <c r="N407" s="887">
        <f ca="1">IFERROR(__xludf.DUMMYFUNCTION("IMPORTRANGE(""https://docs.google.com/spreadsheets/d/1MeEWN-I1oV_STSDYn1IFDPWt_1FKiwhDph83XaGc0o0/edit?usp=sharing"",""งบพรบ!FX88"")"),0)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IFERROR(__xludf.DUMMYFUNCTION("IMPORTRANGE(""https://docs.google.com/spreadsheets/d/1MeEWN-I1oV_STSDYn1IFDPWt_1FKiwhDph83XaGc0o0/edit?usp=sharing"",""งบพรบ!FT88"")"),0)</f>
        <v>0</v>
      </c>
      <c r="M410" s="887">
        <f ca="1">IFERROR(__xludf.DUMMYFUNCTION("IMPORTRANGE(""https://docs.google.com/spreadsheets/d/1MeEWN-I1oV_STSDYn1IFDPWt_1FKiwhDph83XaGc0o0/edit?usp=sharing"",""งบพรบ!FW88"")"),0)</f>
        <v>0</v>
      </c>
      <c r="N410" s="887">
        <f ca="1">IFERROR(__xludf.DUMMYFUNCTION("IMPORTRANGE(""https://docs.google.com/spreadsheets/d/1MeEWN-I1oV_STSDYn1IFDPWt_1FKiwhDph83XaGc0o0/edit?usp=sharing"",""งบพรบ!FY88"")"),0)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2095088</v>
      </c>
      <c r="M414" s="1281">
        <f t="shared" ca="1" si="181"/>
        <v>2095088</v>
      </c>
      <c r="N414" s="1281">
        <f t="shared" si="181"/>
        <v>1352694.4</v>
      </c>
      <c r="O414" s="1281">
        <f ca="1">IF(L414&gt;0,N414*100/L414,0)</f>
        <v>64.565039750120278</v>
      </c>
      <c r="P414" s="1281">
        <f ca="1">IF(M414&gt;0,N414*100/M414,0)</f>
        <v>64.565039750120278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45</v>
      </c>
      <c r="J417" s="1294">
        <f t="shared" ca="1" si="182"/>
        <v>45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2</v>
      </c>
      <c r="J418" s="1294">
        <f t="shared" si="182"/>
        <v>2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149040</v>
      </c>
      <c r="M419" s="992">
        <f t="shared" ca="1" si="184"/>
        <v>149040</v>
      </c>
      <c r="N419" s="992">
        <f t="shared" si="184"/>
        <v>120340</v>
      </c>
      <c r="O419" s="992">
        <f t="shared" ref="O419:O424" ca="1" si="185">IF(L419&gt;0,N419*100/L419,0)</f>
        <v>80.743424584004288</v>
      </c>
      <c r="P419" s="992">
        <f t="shared" ref="P419:P424" ca="1" si="186">IF(M419&gt;0,N419*100/M419,0)</f>
        <v>80.743424584004288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149040</v>
      </c>
      <c r="M421" s="887">
        <f t="shared" ca="1" si="187"/>
        <v>149040</v>
      </c>
      <c r="N421" s="887">
        <f t="shared" si="187"/>
        <v>120340</v>
      </c>
      <c r="O421" s="887">
        <f t="shared" ca="1" si="185"/>
        <v>80.743424584004288</v>
      </c>
      <c r="P421" s="887">
        <f t="shared" ca="1" si="186"/>
        <v>80.743424584004288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149040</v>
      </c>
      <c r="M422" s="881">
        <f t="shared" ca="1" si="188"/>
        <v>149040</v>
      </c>
      <c r="N422" s="881">
        <f t="shared" si="188"/>
        <v>120340</v>
      </c>
      <c r="O422" s="881">
        <f t="shared" ca="1" si="185"/>
        <v>80.743424584004288</v>
      </c>
      <c r="P422" s="881">
        <f t="shared" ca="1" si="186"/>
        <v>80.743424584004288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IFERROR(__xludf.DUMMYFUNCTION("IMPORTRANGE(""https://docs.google.com/spreadsheets/d/1QqKyyYR6Q21VydFLVH3TRQUabQu_ym0Zz7PgGX0-kHA/edit?usp=sharing"",""แผน!EY88"")"),149040)</f>
        <v>149040</v>
      </c>
      <c r="M424" s="887">
        <f ca="1">L424</f>
        <v>149040</v>
      </c>
      <c r="N424" s="887">
        <f>N425+N426+N427+N428</f>
        <v>120340</v>
      </c>
      <c r="O424" s="887">
        <f t="shared" ca="1" si="185"/>
        <v>80.743424584004288</v>
      </c>
      <c r="P424" s="887">
        <f t="shared" ca="1" si="186"/>
        <v>80.743424584004288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f>77780+24000+17000</f>
        <v>118780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f>1080+480</f>
        <v>1560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IFERROR(__xludf.DUMMYFUNCTION("IMPORTRANGE(""https://docs.google.com/spreadsheets/d/1QqKyyYR6Q21VydFLVH3TRQUabQu_ym0Zz7PgGX0-kHA/edit?usp=sharing"",""แผน!FB88"")"),0)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45</v>
      </c>
      <c r="J433" s="1019">
        <f ca="1">IF(AND(J435=I435,J437=I437,J439=I439),I437+I439,IF(AND(J435=I437,J437=I437),I437,IF(AND(J435=I439,J439=I439),I439,0)))</f>
        <v>45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2</v>
      </c>
      <c r="J434" s="1019">
        <f t="shared" si="193"/>
        <v>2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IFERROR(__xludf.DUMMYFUNCTION("IMPORTRANGE(""https://docs.google.com/spreadsheets/d/1QqKyyYR6Q21VydFLVH3TRQUabQu_ym0Zz7PgGX0-kHA/edit?usp=sharing"",""แผน!FC88"")"),45)</f>
        <v>45</v>
      </c>
      <c r="J435" s="583">
        <v>45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IFERROR(__xludf.DUMMYFUNCTION("IMPORTRANGE(""https://docs.google.com/spreadsheets/d/1QqKyyYR6Q21VydFLVH3TRQUabQu_ym0Zz7PgGX0-kHA/edit?usp=sharing"",""แผน!FD88"")"),30)</f>
        <v>30</v>
      </c>
      <c r="J437" s="583">
        <v>30</v>
      </c>
      <c r="K437" s="881">
        <f t="shared" ref="K437:K443" ca="1" si="194">IF(I437&gt;0,J437*100/I437,0)</f>
        <v>100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IFERROR(__xludf.DUMMYFUNCTION("IMPORTRANGE(""https://docs.google.com/spreadsheets/d/1QqKyyYR6Q21VydFLVH3TRQUabQu_ym0Zz7PgGX0-kHA/edit?usp=sharing"",""แผน!FE88"")"),1)</f>
        <v>1</v>
      </c>
      <c r="J438" s="1012">
        <v>1</v>
      </c>
      <c r="K438" s="881">
        <f t="shared" ca="1" si="194"/>
        <v>100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IFERROR(__xludf.DUMMYFUNCTION("IMPORTRANGE(""https://docs.google.com/spreadsheets/d/1QqKyyYR6Q21VydFLVH3TRQUabQu_ym0Zz7PgGX0-kHA/edit?usp=sharing"",""แผน!FF88"")"),15)</f>
        <v>15</v>
      </c>
      <c r="J439" s="583">
        <v>15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IFERROR(__xludf.DUMMYFUNCTION("IMPORTRANGE(""https://docs.google.com/spreadsheets/d/1QqKyyYR6Q21VydFLVH3TRQUabQu_ym0Zz7PgGX0-kHA/edit?usp=sharing"",""แผน!FG88"")"),1)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IFERROR(__xludf.DUMMYFUNCTION("IMPORTRANGE(""https://docs.google.com/spreadsheets/d/1QqKyyYR6Q21VydFLVH3TRQUabQu_ym0Zz7PgGX0-kHA/edit?usp=sharing"",""แผน!FH88"")"),0)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40</v>
      </c>
      <c r="J442" s="1310">
        <f t="shared" si="195"/>
        <v>40</v>
      </c>
      <c r="K442" s="1311">
        <f t="shared" ca="1" si="194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80</v>
      </c>
      <c r="J443" s="1294">
        <f t="shared" si="196"/>
        <v>80</v>
      </c>
      <c r="K443" s="1295">
        <f t="shared" ca="1" si="194"/>
        <v>100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317680</v>
      </c>
      <c r="M444" s="1020">
        <f t="shared" ca="1" si="197"/>
        <v>317680</v>
      </c>
      <c r="N444" s="1020">
        <f t="shared" si="197"/>
        <v>203490.02</v>
      </c>
      <c r="O444" s="1020">
        <f t="shared" ref="O444:O449" ca="1" si="198">IF(L444&gt;0,N444*100/L444,0)</f>
        <v>64.055030219088394</v>
      </c>
      <c r="P444" s="1020">
        <f t="shared" ref="P444:P449" ca="1" si="199">IF(M444&gt;0,N444*100/M444,0)</f>
        <v>64.055030219088394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317680</v>
      </c>
      <c r="M446" s="887">
        <f t="shared" ca="1" si="200"/>
        <v>317680</v>
      </c>
      <c r="N446" s="887">
        <f t="shared" si="200"/>
        <v>203490.02</v>
      </c>
      <c r="O446" s="887">
        <f t="shared" ca="1" si="198"/>
        <v>64.055030219088394</v>
      </c>
      <c r="P446" s="887">
        <f t="shared" ca="1" si="199"/>
        <v>64.055030219088394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317680</v>
      </c>
      <c r="M447" s="881">
        <f t="shared" ca="1" si="201"/>
        <v>317680</v>
      </c>
      <c r="N447" s="881">
        <f t="shared" si="201"/>
        <v>203490.02</v>
      </c>
      <c r="O447" s="881">
        <f t="shared" ca="1" si="198"/>
        <v>64.055030219088394</v>
      </c>
      <c r="P447" s="881">
        <f t="shared" ca="1" si="199"/>
        <v>64.055030219088394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IFERROR(__xludf.DUMMYFUNCTION("IMPORTRANGE(""https://docs.google.com/spreadsheets/d/1QqKyyYR6Q21VydFLVH3TRQUabQu_ym0Zz7PgGX0-kHA/edit?usp=sharing"",""แผน!FJ88"")"),317680)</f>
        <v>317680</v>
      </c>
      <c r="M449" s="887">
        <f ca="1">L449</f>
        <v>317680</v>
      </c>
      <c r="N449" s="887">
        <f>N450+N451+N452+N453</f>
        <v>203490.02</v>
      </c>
      <c r="O449" s="887">
        <f t="shared" ca="1" si="198"/>
        <v>64.055030219088394</v>
      </c>
      <c r="P449" s="887">
        <f t="shared" ca="1" si="199"/>
        <v>64.055030219088394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f>33511+20889</f>
        <v>54400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79000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f>23833.35+13000+13000+12566.67</f>
        <v>62400.02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f>360+3730+3600</f>
        <v>7690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IFERROR(__xludf.DUMMYFUNCTION("IMPORTRANGE(""https://docs.google.com/spreadsheets/d/1QqKyyYR6Q21VydFLVH3TRQUabQu_ym0Zz7PgGX0-kHA/edit?usp=sharing"",""แผน!FM88"")"),0)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IFERROR(__xludf.DUMMYFUNCTION("IMPORTRANGE(""https://docs.google.com/spreadsheets/d/1QqKyyYR6Q21VydFLVH3TRQUabQu_ym0Zz7PgGX0-kHA/edit?usp=sharing"",""แผน!FN88"")"),40)</f>
        <v>40</v>
      </c>
      <c r="J460" s="1012">
        <v>40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IFERROR(__xludf.DUMMYFUNCTION("IMPORTRANGE(""https://docs.google.com/spreadsheets/d/1QqKyyYR6Q21VydFLVH3TRQUabQu_ym0Zz7PgGX0-kHA/edit?usp=sharing"",""แผน!FO88"")"),80)</f>
        <v>80</v>
      </c>
      <c r="J462" s="1012">
        <v>80</v>
      </c>
      <c r="K462" s="881">
        <f ca="1">IF(I462&gt;0,J462*100/I462,0)</f>
        <v>100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IFERROR(__xludf.DUMMYFUNCTION("IMPORTRANGE(""https://docs.google.com/spreadsheets/d/1QqKyyYR6Q21VydFLVH3TRQUabQu_ym0Zz7PgGX0-kHA/edit?usp=sharing"",""แผน!FO88"")"),80)</f>
        <v>80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IFERROR(__xludf.DUMMYFUNCTION("IMPORTRANGE(""https://docs.google.com/spreadsheets/d/1QqKyyYR6Q21VydFLVH3TRQUabQu_ym0Zz7PgGX0-kHA/edit?usp=sharing"",""แผน!FN88"")"),40)</f>
        <v>40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IFERROR(__xludf.DUMMYFUNCTION("IMPORTRANGE(""https://docs.google.com/spreadsheets/d/1QqKyyYR6Q21VydFLVH3TRQUabQu_ym0Zz7PgGX0-kHA/edit?usp=sharing"",""แผน!FX88"")"),71)</f>
        <v>71</v>
      </c>
      <c r="J465" s="1310">
        <f>J485+J489+J492</f>
        <v>71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IFERROR(__xludf.DUMMYFUNCTION("IMPORTRANGE(""https://docs.google.com/spreadsheets/d/1QqKyyYR6Q21VydFLVH3TRQUabQu_ym0Zz7PgGX0-kHA/edit?usp=sharing"",""แผน!FW88"")"),700)</f>
        <v>700</v>
      </c>
      <c r="J466" s="1294">
        <f>J495+J498</f>
        <v>0</v>
      </c>
      <c r="K466" s="1295">
        <f t="shared" ca="1" si="205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570443</v>
      </c>
      <c r="M467" s="1020">
        <f t="shared" ca="1" si="206"/>
        <v>570443</v>
      </c>
      <c r="N467" s="1020">
        <f t="shared" si="206"/>
        <v>116533</v>
      </c>
      <c r="O467" s="1020">
        <f t="shared" ref="O467:O472" ca="1" si="207">IF(L467&gt;0,N467*100/L467,0)</f>
        <v>20.428509071020244</v>
      </c>
      <c r="P467" s="1020">
        <f t="shared" ref="P467:P472" ca="1" si="208">IF(M467&gt;0,N467*100/M467,0)</f>
        <v>20.428509071020244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570443</v>
      </c>
      <c r="M469" s="887">
        <f t="shared" ca="1" si="209"/>
        <v>570443</v>
      </c>
      <c r="N469" s="887">
        <f t="shared" si="209"/>
        <v>116533</v>
      </c>
      <c r="O469" s="887">
        <f t="shared" ca="1" si="207"/>
        <v>20.428509071020244</v>
      </c>
      <c r="P469" s="887">
        <f t="shared" ca="1" si="208"/>
        <v>20.428509071020244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570443</v>
      </c>
      <c r="M470" s="881">
        <f t="shared" ca="1" si="210"/>
        <v>570443</v>
      </c>
      <c r="N470" s="881">
        <f t="shared" si="210"/>
        <v>116533</v>
      </c>
      <c r="O470" s="881">
        <f t="shared" ca="1" si="207"/>
        <v>20.428509071020244</v>
      </c>
      <c r="P470" s="881">
        <f t="shared" ca="1" si="208"/>
        <v>20.428509071020244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IFERROR(__xludf.DUMMYFUNCTION("IMPORTRANGE(""https://docs.google.com/spreadsheets/d/1QqKyyYR6Q21VydFLVH3TRQUabQu_ym0Zz7PgGX0-kHA/edit?usp=sharing"",""แผน!FS88"")"),570443)</f>
        <v>570443</v>
      </c>
      <c r="M472" s="887">
        <f ca="1">L472</f>
        <v>570443</v>
      </c>
      <c r="N472" s="887">
        <f>N473+N474+N475+N476</f>
        <v>116533</v>
      </c>
      <c r="O472" s="887">
        <f t="shared" ca="1" si="207"/>
        <v>20.428509071020244</v>
      </c>
      <c r="P472" s="887">
        <f t="shared" ca="1" si="208"/>
        <v>20.428509071020244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84153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f>23780+4720+480+3400</f>
        <v>32380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IFERROR(__xludf.DUMMYFUNCTION("IMPORTRANGE(""https://docs.google.com/spreadsheets/d/1QqKyyYR6Q21VydFLVH3TRQUabQu_ym0Zz7PgGX0-kHA/edit?usp=sharing"",""แผน!FV88"")"),0)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IFERROR(__xludf.DUMMYFUNCTION("IMPORTRANGE(""https://docs.google.com/spreadsheets/d/1QqKyyYR6Q21VydFLVH3TRQUabQu_ym0Zz7PgGX0-kHA/edit?usp=sharing"",""แผน!FY88"")"),630)</f>
        <v>630</v>
      </c>
      <c r="J483" s="1012">
        <v>630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63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IFERROR(__xludf.DUMMYFUNCTION("IMPORTRANGE(""https://docs.google.com/spreadsheets/d/1QqKyyYR6Q21VydFLVH3TRQUabQu_ym0Zz7PgGX0-kHA/edit?usp=sharing"",""แผน!FZ88"")"),63)</f>
        <v>63</v>
      </c>
      <c r="J485" s="1012">
        <v>63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IFERROR(__xludf.DUMMYFUNCTION("IMPORTRANGE(""https://docs.google.com/spreadsheets/d/1QqKyyYR6Q21VydFLVH3TRQUabQu_ym0Zz7PgGX0-kHA/edit?usp=sharing"",""แผน!GA88"")"),70)</f>
        <v>70</v>
      </c>
      <c r="J487" s="1012">
        <v>70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7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IFERROR(__xludf.DUMMYFUNCTION("IMPORTRANGE(""https://docs.google.com/spreadsheets/d/1QqKyyYR6Q21VydFLVH3TRQUabQu_ym0Zz7PgGX0-kHA/edit?usp=sharing"",""แผน!GB88"")"),7)</f>
        <v>7</v>
      </c>
      <c r="J489" s="1012">
        <v>7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IFERROR(__xludf.DUMMYFUNCTION("IMPORTRANGE(""https://docs.google.com/spreadsheets/d/1QqKyyYR6Q21VydFLVH3TRQUabQu_ym0Zz7PgGX0-kHA/edit?usp=sharing"",""แผน!GC88"")"),1)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IFERROR(__xludf.DUMMYFUNCTION("IMPORTRANGE(""https://docs.google.com/spreadsheets/d/1QqKyyYR6Q21VydFLVH3TRQUabQu_ym0Zz7PgGX0-kHA/edit?usp=sharing"",""แผน!FY88"")"),630)</f>
        <v>630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IFERROR(__xludf.DUMMYFUNCTION("IMPORTRANGE(""https://docs.google.com/spreadsheets/d/1QqKyyYR6Q21VydFLVH3TRQUabQu_ym0Zz7PgGX0-kHA/edit?usp=sharing"",""แผน!GA88"")"),70)</f>
        <v>70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30</v>
      </c>
      <c r="J522" s="1377">
        <f t="shared" ca="1" si="225"/>
        <v>30</v>
      </c>
      <c r="K522" s="1378">
        <f ca="1">IF(I522&gt;0,J522*100/I522,0)</f>
        <v>100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277260</v>
      </c>
      <c r="M523" s="1020">
        <f t="shared" ca="1" si="226"/>
        <v>277260</v>
      </c>
      <c r="N523" s="1020">
        <f t="shared" si="226"/>
        <v>259100</v>
      </c>
      <c r="O523" s="1020">
        <f t="shared" ref="O523:O528" ca="1" si="227">IF(L523&gt;0,N523*100/L523,0)</f>
        <v>93.45019115631537</v>
      </c>
      <c r="P523" s="1020">
        <f t="shared" ref="P523:P528" ca="1" si="228">IF(M523&gt;0,N523*100/M523,0)</f>
        <v>93.45019115631537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277260</v>
      </c>
      <c r="M525" s="887">
        <f t="shared" ca="1" si="229"/>
        <v>277260</v>
      </c>
      <c r="N525" s="887">
        <f t="shared" si="229"/>
        <v>259100</v>
      </c>
      <c r="O525" s="887">
        <f t="shared" ca="1" si="227"/>
        <v>93.45019115631537</v>
      </c>
      <c r="P525" s="887">
        <f t="shared" ca="1" si="228"/>
        <v>93.45019115631537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277260</v>
      </c>
      <c r="M526" s="881">
        <f t="shared" ca="1" si="230"/>
        <v>277260</v>
      </c>
      <c r="N526" s="881">
        <f t="shared" si="230"/>
        <v>259100</v>
      </c>
      <c r="O526" s="881">
        <f t="shared" ca="1" si="227"/>
        <v>93.45019115631537</v>
      </c>
      <c r="P526" s="881">
        <f t="shared" ca="1" si="228"/>
        <v>93.45019115631537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IFERROR(__xludf.DUMMYFUNCTION("IMPORTRANGE(""https://docs.google.com/spreadsheets/d/1QqKyyYR6Q21VydFLVH3TRQUabQu_ym0Zz7PgGX0-kHA/edit?usp=sharing"",""แผน!GQ88"")"),277260)</f>
        <v>277260</v>
      </c>
      <c r="M528" s="887">
        <f ca="1">L528</f>
        <v>277260</v>
      </c>
      <c r="N528" s="887">
        <f>N529+N530+N531+N532</f>
        <v>259100</v>
      </c>
      <c r="O528" s="887">
        <f t="shared" ca="1" si="227"/>
        <v>93.45019115631537</v>
      </c>
      <c r="P528" s="887">
        <f t="shared" ca="1" si="228"/>
        <v>93.45019115631537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f>10200+3404+58096</f>
        <v>71700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f>126800+18100+5100</f>
        <v>150000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f>3700+7980+240+22800+2080+600</f>
        <v>37400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IFERROR(__xludf.DUMMYFUNCTION("IMPORTRANGE(""https://docs.google.com/spreadsheets/d/1QqKyyYR6Q21VydFLVH3TRQUabQu_ym0Zz7PgGX0-kHA/edit?usp=sharing"",""แผน!GT88"")"),0)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IFERROR(__xludf.DUMMYFUNCTION("IMPORTRANGE(""https://docs.google.com/spreadsheets/d/1QqKyyYR6Q21VydFLVH3TRQUabQu_ym0Zz7PgGX0-kHA/edit?usp=sharing"",""แผน!GU88"")"),30)</f>
        <v>30</v>
      </c>
      <c r="J537" s="1019">
        <f ca="1">IF(AND(J538=I538,J539=I539,J540=I540,J541=I541),I537,0)</f>
        <v>30</v>
      </c>
      <c r="K537" s="881">
        <f t="shared" ref="K537:K543" ca="1" si="234">IF(I537&gt;0,J537*100/I537,0)</f>
        <v>100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IFERROR(__xludf.DUMMYFUNCTION("IMPORTRANGE(""https://docs.google.com/spreadsheets/d/1QqKyyYR6Q21VydFLVH3TRQUabQu_ym0Zz7PgGX0-kHA/edit?usp=sharing"",""แผน!GV88"")"),30)</f>
        <v>30</v>
      </c>
      <c r="J538" s="1012">
        <v>30</v>
      </c>
      <c r="K538" s="881">
        <f t="shared" ca="1" si="234"/>
        <v>100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IFERROR(__xludf.DUMMYFUNCTION("IMPORTRANGE(""https://docs.google.com/spreadsheets/d/1QqKyyYR6Q21VydFLVH3TRQUabQu_ym0Zz7PgGX0-kHA/edit?usp=sharing"",""แผน!GW88"")"),0)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IFERROR(__xludf.DUMMYFUNCTION("IMPORTRANGE(""https://docs.google.com/spreadsheets/d/1QqKyyYR6Q21VydFLVH3TRQUabQu_ym0Zz7PgGX0-kHA/edit?usp=sharing"",""แผน!GX88"")"),0)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IFERROR(__xludf.DUMMYFUNCTION("IMPORTRANGE(""https://docs.google.com/spreadsheets/d/1QqKyyYR6Q21VydFLVH3TRQUabQu_ym0Zz7PgGX0-kHA/edit?usp=sharing"",""แผน!GY88"")"),30)</f>
        <v>30</v>
      </c>
      <c r="J541" s="1012">
        <v>30</v>
      </c>
      <c r="K541" s="881">
        <f t="shared" ca="1" si="234"/>
        <v>100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IFERROR(__xludf.DUMMYFUNCTION("IMPORTRANGE(""https://docs.google.com/spreadsheets/d/1QqKyyYR6Q21VydFLVH3TRQUabQu_ym0Zz7PgGX0-kHA/edit?usp=sharing"",""แผน!GZ88"")"),30)</f>
        <v>30</v>
      </c>
      <c r="J542" s="1012">
        <v>30</v>
      </c>
      <c r="K542" s="881">
        <f t="shared" ca="1" si="234"/>
        <v>100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89214</v>
      </c>
      <c r="J543" s="1384">
        <f t="shared" si="235"/>
        <v>89216</v>
      </c>
      <c r="K543" s="1385">
        <f t="shared" ca="1" si="234"/>
        <v>100.00224180061426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780665</v>
      </c>
      <c r="M544" s="992">
        <f t="shared" ca="1" si="236"/>
        <v>780665</v>
      </c>
      <c r="N544" s="992">
        <f t="shared" si="236"/>
        <v>653231.38</v>
      </c>
      <c r="O544" s="992">
        <f t="shared" ref="O544:O549" ca="1" si="237">IF(L544&gt;0,N544*100/L544,0)</f>
        <v>83.676273433547038</v>
      </c>
      <c r="P544" s="992">
        <f t="shared" ref="P544:P549" ca="1" si="238">IF(M544&gt;0,N544*100/M544,0)</f>
        <v>83.676273433547038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780665</v>
      </c>
      <c r="M546" s="887">
        <f t="shared" ca="1" si="240"/>
        <v>780665</v>
      </c>
      <c r="N546" s="887">
        <f t="shared" si="240"/>
        <v>653231.38</v>
      </c>
      <c r="O546" s="887">
        <f t="shared" ca="1" si="237"/>
        <v>83.676273433547038</v>
      </c>
      <c r="P546" s="887">
        <f t="shared" ca="1" si="238"/>
        <v>83.676273433547038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780665</v>
      </c>
      <c r="M547" s="881">
        <f t="shared" ca="1" si="241"/>
        <v>780665</v>
      </c>
      <c r="N547" s="881">
        <f t="shared" si="241"/>
        <v>653231.38</v>
      </c>
      <c r="O547" s="881">
        <f t="shared" ca="1" si="237"/>
        <v>83.676273433547038</v>
      </c>
      <c r="P547" s="881">
        <f t="shared" ca="1" si="238"/>
        <v>83.676273433547038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IFERROR(__xludf.DUMMYFUNCTION("IMPORTRANGE(""https://docs.google.com/spreadsheets/d/1QqKyyYR6Q21VydFLVH3TRQUabQu_ym0Zz7PgGX0-kHA/edit?usp=sharing"",""แผน!HB88"")"),780665)</f>
        <v>780665</v>
      </c>
      <c r="M549" s="887">
        <f ca="1">L549</f>
        <v>780665</v>
      </c>
      <c r="N549" s="887">
        <f>N550+N551+N552+N553+N554</f>
        <v>653231.38</v>
      </c>
      <c r="O549" s="887">
        <f t="shared" ca="1" si="237"/>
        <v>83.676273433547038</v>
      </c>
      <c r="P549" s="887">
        <f t="shared" ca="1" si="238"/>
        <v>83.676273433547038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f>24266.68+13000+13000+13000</f>
        <v>63266.68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f>32853.25+65260+2498.45+7850+86672+7970+316+1365+14430+240+15375+3950+1780+26020+53390+14635+35360</f>
        <v>369964.7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220000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IFERROR(__xludf.DUMMYFUNCTION("IMPORTRANGE(""https://docs.google.com/spreadsheets/d/1QqKyyYR6Q21VydFLVH3TRQUabQu_ym0Zz7PgGX0-kHA/edit?usp=sharing"",""แผน!HF88"")"),0)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89214</v>
      </c>
      <c r="J559" s="1377">
        <f t="shared" si="245"/>
        <v>89216</v>
      </c>
      <c r="K559" s="1378">
        <f t="shared" ref="K559:K561" ca="1" si="246">IF(I559&gt;0,J559*100/I559,0)</f>
        <v>100.00224180061426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IFERROR(__xludf.DUMMYFUNCTION("IMPORTRANGE(""https://docs.google.com/spreadsheets/d/1QqKyyYR6Q21VydFLVH3TRQUabQu_ym0Zz7PgGX0-kHA/edit?usp=sharing"",""แผน!HH88"")"),89214)</f>
        <v>89214</v>
      </c>
      <c r="J560" s="1018">
        <f t="shared" ref="J560:J561" si="247">J562+J564+J566</f>
        <v>89216</v>
      </c>
      <c r="K560" s="1162">
        <f t="shared" ca="1" si="246"/>
        <v>100.00224180061426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IFERROR(__xludf.DUMMYFUNCTION("IMPORTRANGE(""https://docs.google.com/spreadsheets/d/1QqKyyYR6Q21VydFLVH3TRQUabQu_ym0Zz7PgGX0-kHA/edit?usp=sharing"",""แผน!HG88"")"),7593)</f>
        <v>7593</v>
      </c>
      <c r="J561" s="1018">
        <f t="shared" si="247"/>
        <v>7593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79903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6728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8439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781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874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84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IFERROR(__xludf.DUMMYFUNCTION("IMPORTRANGE(""https://docs.google.com/spreadsheets/d/1QqKyyYR6Q21VydFLVH3TRQUabQu_ym0Zz7PgGX0-kHA/edit?usp=sharing"",""แผน!HH88"")"),89214)</f>
        <v>89214</v>
      </c>
      <c r="J568" s="1019">
        <f t="shared" ref="J568:J569" si="248">J570+J572+J574</f>
        <v>89214</v>
      </c>
      <c r="K568" s="1162">
        <f t="shared" ref="K568:K569" ca="1" si="249">IF(I568&gt;0,J568*100/I568,0)</f>
        <v>100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IFERROR(__xludf.DUMMYFUNCTION("IMPORTRANGE(""https://docs.google.com/spreadsheets/d/1QqKyyYR6Q21VydFLVH3TRQUabQu_ym0Zz7PgGX0-kHA/edit?usp=sharing"",""แผน!HG88"")"),7593)</f>
        <v>7593</v>
      </c>
      <c r="J569" s="1019">
        <f t="shared" si="248"/>
        <v>7593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87382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7379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838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116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994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98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IFERROR(__xludf.DUMMYFUNCTION("IMPORTRANGE(""https://docs.google.com/spreadsheets/d/1QqKyyYR6Q21VydFLVH3TRQUabQu_ym0Zz7PgGX0-kHA/edit?usp=sharing"",""แผน!HH88"")"),89214)</f>
        <v>89214</v>
      </c>
      <c r="J576" s="1019">
        <f t="shared" ref="J576:J577" si="250">J578+J580+J582+J588+J590</f>
        <v>89216</v>
      </c>
      <c r="K576" s="1162">
        <f t="shared" ref="K576:K577" ca="1" si="251">IF(I576&gt;0,J576*100/I576,0)</f>
        <v>100.00224180061426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IFERROR(__xludf.DUMMYFUNCTION("IMPORTRANGE(""https://docs.google.com/spreadsheets/d/1QqKyyYR6Q21VydFLVH3TRQUabQu_ym0Zz7PgGX0-kHA/edit?usp=sharing"",""แผน!HG88"")"),7593)</f>
        <v>7593</v>
      </c>
      <c r="J577" s="1019">
        <f t="shared" si="250"/>
        <v>7593</v>
      </c>
      <c r="K577" s="1162">
        <f t="shared" ca="1" si="251"/>
        <v>100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80108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6750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8114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745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994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98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994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98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15712.62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IFERROR(__xludf.DUMMYFUNCTION("IMPORTRANGE(""https://docs.google.com/spreadsheets/d/1QqKyyYR6Q21VydFLVH3TRQUabQu_ym0Zz7PgGX0-kHA/edit?usp=sharing"",""แผน!HJ88"")"),15712.62)</f>
        <v>15712.62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IFERROR(__xludf.DUMMYFUNCTION("IMPORTRANGE(""https://docs.google.com/spreadsheets/d/1QqKyyYR6Q21VydFLVH3TRQUabQu_ym0Zz7PgGX0-kHA/edit?usp=sharing"",""แผน!HI88"")"),1172)</f>
        <v>1172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IFERROR(__xludf.DUMMYFUNCTION("IMPORTRANGE(""https://docs.google.com/spreadsheets/d/1QqKyyYR6Q21VydFLVH3TRQUabQu_ym0Zz7PgGX0-kHA/edit?usp=sharing"",""แผน!HL88"")"),0)</f>
        <v>0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IFERROR(__xludf.DUMMYFUNCTION("IMPORTRANGE(""https://docs.google.com/spreadsheets/d/1QqKyyYR6Q21VydFLVH3TRQUabQu_ym0Zz7PgGX0-kHA/edit?usp=sharing"",""แผน!HK88"")"),0)</f>
        <v>0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 hidden="1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 hidden="1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0</v>
      </c>
      <c r="M629" s="1020">
        <f t="shared" si="263"/>
        <v>0</v>
      </c>
      <c r="N629" s="1020">
        <f t="shared" si="263"/>
        <v>0</v>
      </c>
      <c r="O629" s="1020">
        <f t="shared" ref="O629:O634" ca="1" si="264">IF(L629&gt;0,N629*100/L629,0)</f>
        <v>0</v>
      </c>
      <c r="P629" s="1020">
        <f t="shared" ref="P629:P634" si="265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0</v>
      </c>
      <c r="M631" s="887">
        <f t="shared" si="266"/>
        <v>0</v>
      </c>
      <c r="N631" s="887">
        <f t="shared" si="266"/>
        <v>0</v>
      </c>
      <c r="O631" s="887">
        <f t="shared" ca="1" si="264"/>
        <v>0</v>
      </c>
      <c r="P631" s="887">
        <f t="shared" si="265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 hidden="1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0</v>
      </c>
      <c r="M632" s="881">
        <f t="shared" si="267"/>
        <v>0</v>
      </c>
      <c r="N632" s="881">
        <f t="shared" si="267"/>
        <v>0</v>
      </c>
      <c r="O632" s="881">
        <f t="shared" ca="1" si="264"/>
        <v>0</v>
      </c>
      <c r="P632" s="881">
        <f t="shared" si="265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IFERROR(__xludf.DUMMYFUNCTION("IMPORTRANGE(""https://docs.google.com/spreadsheets/d/1QqKyyYR6Q21VydFLVH3TRQUabQu_ym0Zz7PgGX0-kHA/edit?usp=sharing"",""แผน!HN88"")"),0)</f>
        <v>0</v>
      </c>
      <c r="M634" s="887">
        <v>0</v>
      </c>
      <c r="N634" s="887">
        <f>N635+N636+N637+N638</f>
        <v>0</v>
      </c>
      <c r="O634" s="887">
        <f t="shared" ca="1" si="264"/>
        <v>0</v>
      </c>
      <c r="P634" s="887">
        <f t="shared" si="265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 hidden="1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 hidden="1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 hidden="1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 hidden="1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 hidden="1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IFERROR(__xludf.DUMMYFUNCTION("IMPORTRANGE(""https://docs.google.com/spreadsheets/d/1QqKyyYR6Q21VydFLVH3TRQUabQu_ym0Zz7PgGX0-kHA/edit?usp=sharing"",""แผน!HQ88"")"),0)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 hidden="1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 hidden="1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IFERROR(__xludf.DUMMYFUNCTION("IMPORTRANGE(""https://docs.google.com/spreadsheets/d/1QqKyyYR6Q21VydFLVH3TRQUabQu_ym0Zz7PgGX0-kHA/edit?usp=sharing"",""แผน!HR88"")"),0)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 hidden="1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IFERROR(__xludf.DUMMYFUNCTION("IMPORTRANGE(""https://docs.google.com/spreadsheets/d/1QqKyyYR6Q21VydFLVH3TRQUabQu_ym0Zz7PgGX0-kHA/edit?usp=sharing"",""แผน!HR88"")"),0)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 hidden="1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IFERROR(__xludf.DUMMYFUNCTION("IMPORTRANGE(""https://docs.google.com/spreadsheets/d/1XWAQStnk-4SwqDmLtmXYiTMKHgktTP8We1SCoS47DrQ/edit?usp=sharing"",""จัดที่ดิน!AS88"")"),0)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 hidden="1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IFERROR(__xludf.DUMMYFUNCTION("IMPORTRANGE(""https://docs.google.com/spreadsheets/d/1XWAQStnk-4SwqDmLtmXYiTMKHgktTP8We1SCoS47DrQ/edit?usp=sharing"",""จัดที่ดิน!AT88"")"),0)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 hidden="1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IFERROR(__xludf.DUMMYFUNCTION("IMPORTRANGE(""https://docs.google.com/spreadsheets/d/1QqKyyYR6Q21VydFLVH3TRQUabQu_ym0Zz7PgGX0-kHA/edit?usp=sharing"",""แผน!HS88"")"),0)</f>
        <v>0</v>
      </c>
      <c r="J647" s="880">
        <f ca="1">IFERROR(__xludf.DUMMYFUNCTION("IMPORTRANGE(""https://docs.google.com/spreadsheets/d/1XWAQStnk-4SwqDmLtmXYiTMKHgktTP8We1SCoS47DrQ/edit?usp=sharing"",""จัดที่ดิน!AU88"")"),0)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 hidden="1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IFERROR(__xludf.DUMMYFUNCTION("IMPORTRANGE(""https://docs.google.com/spreadsheets/d/1XWAQStnk-4SwqDmLtmXYiTMKHgktTP8We1SCoS47DrQ/edit?usp=sharing"",""จัดที่ดิน!AV88"")"),0)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 hidden="1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IFERROR(__xludf.DUMMYFUNCTION("IMPORTRANGE(""https://docs.google.com/spreadsheets/d/1QqKyyYR6Q21VydFLVH3TRQUabQu_ym0Zz7PgGX0-kHA/edit?usp=sharing"",""แผน!HS88"")"),0)</f>
        <v>0</v>
      </c>
      <c r="J649" s="880">
        <f ca="1">IFERROR(__xludf.DUMMYFUNCTION("IMPORTRANGE(""https://docs.google.com/spreadsheets/d/1XWAQStnk-4SwqDmLtmXYiTMKHgktTP8We1SCoS47DrQ/edit?usp=sharing"",""จัดที่ดิน!AW88"")"),0)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 hidden="1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IFERROR(__xludf.DUMMYFUNCTION("IMPORTRANGE(""https://docs.google.com/spreadsheets/d/1XWAQStnk-4SwqDmLtmXYiTMKHgktTP8We1SCoS47DrQ/edit?usp=sharing"",""จัดที่ดิน!AX88"")"),0)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 hidden="1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IFERROR(__xludf.DUMMYFUNCTION("IMPORTRANGE(""https://docs.google.com/spreadsheets/d/1QqKyyYR6Q21VydFLVH3TRQUabQu_ym0Zz7PgGX0-kHA/edit?usp=sharing"",""แผน!HS88"")"),0)</f>
        <v>0</v>
      </c>
      <c r="J651" s="880">
        <f ca="1">IFERROR(__xludf.DUMMYFUNCTION("IMPORTRANGE(""https://docs.google.com/spreadsheets/d/1XWAQStnk-4SwqDmLtmXYiTMKHgktTP8We1SCoS47DrQ/edit?usp=sharing"",""จัดที่ดิน!AY88"")"),0)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 hidden="1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IFERROR(__xludf.DUMMYFUNCTION("IMPORTRANGE(""https://docs.google.com/spreadsheets/d/1XWAQStnk-4SwqDmLtmXYiTMKHgktTP8We1SCoS47DrQ/edit?usp=sharing"",""จัดที่ดิน!AZ88"")"),0)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 hidden="1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0</v>
      </c>
      <c r="M655" s="1020">
        <f t="shared" si="273"/>
        <v>0</v>
      </c>
      <c r="N655" s="1020">
        <f t="shared" si="273"/>
        <v>0</v>
      </c>
      <c r="O655" s="1020">
        <f t="shared" ref="O655:O660" ca="1" si="274">IF(L655&gt;0,N655*100/L655,0)</f>
        <v>0</v>
      </c>
      <c r="P655" s="1020">
        <f t="shared" ref="P655:P660" si="275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0</v>
      </c>
      <c r="M657" s="887">
        <f t="shared" si="276"/>
        <v>0</v>
      </c>
      <c r="N657" s="887">
        <f t="shared" si="276"/>
        <v>0</v>
      </c>
      <c r="O657" s="887">
        <f t="shared" ca="1" si="274"/>
        <v>0</v>
      </c>
      <c r="P657" s="887">
        <f t="shared" si="275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0</v>
      </c>
      <c r="M658" s="881">
        <f t="shared" si="277"/>
        <v>0</v>
      </c>
      <c r="N658" s="881">
        <f t="shared" si="277"/>
        <v>0</v>
      </c>
      <c r="O658" s="881">
        <f t="shared" ca="1" si="274"/>
        <v>0</v>
      </c>
      <c r="P658" s="881">
        <f t="shared" si="275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IFERROR(__xludf.DUMMYFUNCTION("IMPORTRANGE(""https://docs.google.com/spreadsheets/d/1QqKyyYR6Q21VydFLVH3TRQUabQu_ym0Zz7PgGX0-kHA/edit?usp=sharing"",""แผน!HV88"")"),0)</f>
        <v>0</v>
      </c>
      <c r="M660" s="887">
        <v>0</v>
      </c>
      <c r="N660" s="887">
        <f>N661+N662+N663+N664</f>
        <v>0</v>
      </c>
      <c r="O660" s="887">
        <f t="shared" ca="1" si="274"/>
        <v>0</v>
      </c>
      <c r="P660" s="887">
        <f t="shared" si="275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IFERROR(__xludf.DUMMYFUNCTION("IMPORTRANGE(""https://docs.google.com/spreadsheets/d/1QqKyyYR6Q21VydFLVH3TRQUabQu_ym0Zz7PgGX0-kHA/edit?usp=sharing"",""แผน!IA88"")"),0)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IFERROR(__xludf.DUMMYFUNCTION("IMPORTRANGE(""https://docs.google.com/spreadsheets/d/1QqKyyYR6Q21VydFLVH3TRQUabQu_ym0Zz7PgGX0-kHA/edit?usp=sharing"",""แผน!HZ88"")"),0)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IFERROR(__xludf.DUMMYFUNCTION("IMPORTRANGE(""https://docs.google.com/spreadsheets/d/1QqKyyYR6Q21VydFLVH3TRQUabQu_ym0Zz7PgGX0-kHA/edit?usp=sharing"",""แผน!HZ88"")"),0)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IFERROR(__xludf.DUMMYFUNCTION("IMPORTRANGE(""https://docs.google.com/spreadsheets/d/1QqKyyYR6Q21VydFLVH3TRQUabQu_ym0Zz7PgGX0-kHA/edit?usp=sharing"",""แผน!IB88"")"),0)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IFERROR(__xludf.DUMMYFUNCTION("IMPORTRANGE(""https://docs.google.com/spreadsheets/d/1QqKyyYR6Q21VydFLVH3TRQUabQu_ym0Zz7PgGX0-kHA/edit?usp=sharing"",""แผน!HW88"")"),0)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IFERROR(__xludf.DUMMYFUNCTION("IMPORTRANGE(""https://docs.google.com/spreadsheets/d/1QqKyyYR6Q21VydFLVH3TRQUabQu_ym0Zz7PgGX0-kHA/edit?usp=sharing"",""แผน!IC88"")"),0)</f>
        <v>0</v>
      </c>
      <c r="J699" s="880">
        <f ca="1">IFERROR(__xludf.DUMMYFUNCTION("IMPORTRANGE(""https://docs.google.com/spreadsheets/d/1XWAQStnk-4SwqDmLtmXYiTMKHgktTP8We1SCoS47DrQ/edit?usp=sharing"",""จัดที่ดิน!BB88"")"),0)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IFERROR(__xludf.DUMMYFUNCTION("IMPORTRANGE(""https://docs.google.com/spreadsheets/d/1QqKyyYR6Q21VydFLVH3TRQUabQu_ym0Zz7PgGX0-kHA/edit?usp=sharing"",""แผน!ID88"")"),0)</f>
        <v>0</v>
      </c>
      <c r="J700" s="880">
        <f ca="1">IFERROR(__xludf.DUMMYFUNCTION("IMPORTRANGE(""https://docs.google.com/spreadsheets/d/1XWAQStnk-4SwqDmLtmXYiTMKHgktTP8We1SCoS47DrQ/edit?usp=sharing"",""จัดที่ดิน!BD88"")"),0)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IFERROR(__xludf.DUMMYFUNCTION("IMPORTRANGE(""https://docs.google.com/spreadsheets/d/1QqKyyYR6Q21VydFLVH3TRQUabQu_ym0Zz7PgGX0-kHA/edit?usp=sharing"",""แผน!IE88"")"),0)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IFERROR(__xludf.DUMMYFUNCTION("IMPORTRANGE(""https://docs.google.com/spreadsheets/d/1QqKyyYR6Q21VydFLVH3TRQUabQu_ym0Zz7PgGX0-kHA/edit?usp=sharing"",""แผน!IF88"")"),0)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IFERROR(__xludf.DUMMYFUNCTION("IMPORTRANGE(""https://docs.google.com/spreadsheets/d/1QqKyyYR6Q21VydFLVH3TRQUabQu_ym0Zz7PgGX0-kHA/edit?usp=sharing"",""แผน!IG88"")"),0)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IFERROR(__xludf.DUMMYFUNCTION("IMPORTRANGE(""https://docs.google.com/spreadsheets/d/1QqKyyYR6Q21VydFLVH3TRQUabQu_ym0Zz7PgGX0-kHA/edit?usp=sharing"",""แผน!IH88"")"),0)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IFERROR(__xludf.DUMMYFUNCTION("IMPORTRANGE(""https://docs.google.com/spreadsheets/d/1XWAQStnk-4SwqDmLtmXYiTMKHgktTP8We1SCoS47DrQ/edit?usp=sharing"",""จัดที่ดิน!BF88"")"),0)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IFERROR(__xludf.DUMMYFUNCTION("IMPORTRANGE(""https://docs.google.com/spreadsheets/d/1XWAQStnk-4SwqDmLtmXYiTMKHgktTP8We1SCoS47DrQ/edit?usp=sharing"",""จัดที่ดิน!BG88"")"),0)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IFERROR(__xludf.DUMMYFUNCTION("IMPORTRANGE(""https://docs.google.com/spreadsheets/d/1QqKyyYR6Q21VydFLVH3TRQUabQu_ym0Zz7PgGX0-kHA/edit?usp=sharing"",""แผน!II88"")"),0)</f>
        <v>0</v>
      </c>
      <c r="J720" s="880">
        <f ca="1">IFERROR(__xludf.DUMMYFUNCTION("IMPORTRANGE(""https://docs.google.com/spreadsheets/d/1XWAQStnk-4SwqDmLtmXYiTMKHgktTP8We1SCoS47DrQ/edit?usp=sharing"",""จัดที่ดิน!BH88"")"),0)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IFERROR(__xludf.DUMMYFUNCTION("IMPORTRANGE(""https://docs.google.com/spreadsheets/d/1QqKyyYR6Q21VydFLVH3TRQUabQu_ym0Zz7PgGX0-kHA/edit?usp=sharing"",""แผน!IJ88"")"),0)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IFERROR(__xludf.DUMMYFUNCTION("IMPORTRANGE(""https://docs.google.com/spreadsheets/d/1QqKyyYR6Q21VydFLVH3TRQUabQu_ym0Zz7PgGX0-kHA/edit?usp=sharing"",""แผน!IK88"")"),0)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IFERROR(__xludf.DUMMYFUNCTION("IMPORTRANGE(""https://docs.google.com/spreadsheets/d/1QqKyyYR6Q21VydFLVH3TRQUabQu_ym0Zz7PgGX0-kHA/edit?usp=sharing"",""แผน!IL88"")"),0)</f>
        <v>0</v>
      </c>
      <c r="J723" s="880">
        <f ca="1">IFERROR(__xludf.DUMMYFUNCTION("IMPORTRANGE(""https://docs.google.com/spreadsheets/d/1XWAQStnk-4SwqDmLtmXYiTMKHgktTP8We1SCoS47DrQ/edit?usp=sharing"",""จัดที่ดิน!BM88"")"),0)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IFERROR(__xludf.DUMMYFUNCTION("IMPORTRANGE(""https://docs.google.com/spreadsheets/d/1XWAQStnk-4SwqDmLtmXYiTMKHgktTP8We1SCoS47DrQ/edit?usp=sharing"",""จัดที่ดิน!BN88"")"),0)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IFERROR(__xludf.DUMMYFUNCTION("IMPORTRANGE(""https://docs.google.com/spreadsheets/d/1QqKyyYR6Q21VydFLVH3TRQUabQu_ym0Zz7PgGX0-kHA/edit?usp=sharing"",""แผน!IM88"")"),0)</f>
        <v>0</v>
      </c>
      <c r="J725" s="880">
        <f ca="1">IFERROR(__xludf.DUMMYFUNCTION("IMPORTRANGE(""https://docs.google.com/spreadsheets/d/1XWAQStnk-4SwqDmLtmXYiTMKHgktTP8We1SCoS47DrQ/edit?usp=sharing"",""จัดที่ดิน!BO88"")"),0)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IFERROR(__xludf.DUMMYFUNCTION("IMPORTRANGE(""https://docs.google.com/spreadsheets/d/1QqKyyYR6Q21VydFLVH3TRQUabQu_ym0Zz7PgGX0-kHA/edit?usp=sharing"",""แผน!IN88"")"),0)</f>
        <v>0</v>
      </c>
      <c r="J726" s="880">
        <f ca="1">IFERROR(__xludf.DUMMYFUNCTION("IMPORTRANGE(""https://docs.google.com/spreadsheets/d/1XWAQStnk-4SwqDmLtmXYiTMKHgktTP8We1SCoS47DrQ/edit?usp=sharing"",""จัดที่ดิน!BR88"")"),0)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IFERROR(__xludf.DUMMYFUNCTION("IMPORTRANGE(""https://docs.google.com/spreadsheets/d/1XWAQStnk-4SwqDmLtmXYiTMKHgktTP8We1SCoS47DrQ/edit?usp=sharing"",""จัดที่ดิน!BS88"")"),0)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IFERROR(__xludf.DUMMYFUNCTION("IMPORTRANGE(""https://docs.google.com/spreadsheets/d/1QqKyyYR6Q21VydFLVH3TRQUabQu_ym0Zz7PgGX0-kHA/edit?usp=sharing"",""แผน!IO88"")"),0)</f>
        <v>0</v>
      </c>
      <c r="J728" s="880">
        <f ca="1">IFERROR(__xludf.DUMMYFUNCTION("IMPORTRANGE(""https://docs.google.com/spreadsheets/d/1XWAQStnk-4SwqDmLtmXYiTMKHgktTP8We1SCoS47DrQ/edit?usp=sharing"",""จัดที่ดิน!BT88"")"),0)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IFERROR(__xludf.DUMMYFUNCTION("IMPORTRANGE(""https://docs.google.com/spreadsheets/d/1QqKyyYR6Q21VydFLVH3TRQUabQu_ym0Zz7PgGX0-kHA/edit?usp=sharing"",""แผน!IP88"")"),0)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IFERROR(__xludf.DUMMYFUNCTION("IMPORTRANGE(""https://docs.google.com/spreadsheets/d/1QqKyyYR6Q21VydFLVH3TRQUabQu_ym0Zz7PgGX0-kHA/edit?usp=sharing"",""แผน!JJ88"")"),0)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IFERROR(__xludf.DUMMYFUNCTION("IMPORTRANGE(""https://docs.google.com/spreadsheets/d/1QqKyyYR6Q21VydFLVH3TRQUabQu_ym0Zz7PgGX0-kHA/edit?usp=sharing"",""แผน!JN88"")"),0)</f>
        <v>0</v>
      </c>
      <c r="J800" s="997">
        <f ca="1">IFERROR(__xludf.DUMMYFUNCTION("IMPORTRANGE(""https://docs.google.com/spreadsheets/d/1MaWodYyGHDf7siQLGxnXhG4mBNTNIuy296niS2xXulU/edit?usp=sharing"",""RTK!H88"")"),0)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IFERROR(__xludf.DUMMYFUNCTION("IMPORTRANGE(""https://docs.google.com/spreadsheets/d/1MaWodYyGHDf7siQLGxnXhG4mBNTNIuy296niS2xXulU/edit?usp=sharing"",""RTK!I88"")"),0)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>
        <v>0</v>
      </c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>
        <v>0</v>
      </c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343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880">
        <f ca="1">IFERROR(__xludf.DUMMYFUNCTION("IMPORTRANGE(""https://docs.google.com/spreadsheets/d/19vJNZY_5yjcGF2XGBMNZRCAIB0Kwfpjp8YEOfu-bneM/edit?usp=sharing"",""งานกองทุน!F88"")"),1240998.69)</f>
        <v>1240998.69</v>
      </c>
      <c r="K821" s="881">
        <f t="shared" ref="K821:K828" ca="1" si="335">IF(I821&gt;0,J821*100/I821,0)</f>
        <v>28.326940016874246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IFERROR(__xludf.DUMMYFUNCTION("IMPORTRANGE(""https://docs.google.com/spreadsheets/d/19vJNZY_5yjcGF2XGBMNZRCAIB0Kwfpjp8YEOfu-bneM/edit?usp=sharing"",""งานกองทุน!C88"")"),276)</f>
        <v>276</v>
      </c>
      <c r="J822" s="880">
        <f ca="1">IFERROR(__xludf.DUMMYFUNCTION("IMPORTRANGE(""https://docs.google.com/spreadsheets/d/19vJNZY_5yjcGF2XGBMNZRCAIB0Kwfpjp8YEOfu-bneM/edit?usp=sharing"",""งานกองทุน!E88"")"),79)</f>
        <v>79</v>
      </c>
      <c r="K822" s="881">
        <f t="shared" ca="1" si="335"/>
        <v>28.623188405797102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880">
        <f ca="1">IFERROR(__xludf.DUMMYFUNCTION("IMPORTRANGE(""https://docs.google.com/spreadsheets/d/19vJNZY_5yjcGF2XGBMNZRCAIB0Kwfpjp8YEOfu-bneM/edit?usp=sharing"",""งานกองทุน!K88"")"),372259.58)</f>
        <v>372259.58</v>
      </c>
      <c r="K823" s="881">
        <f t="shared" ca="1" si="335"/>
        <v>20.83442416250135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IFERROR(__xludf.DUMMYFUNCTION("IMPORTRANGE(""https://docs.google.com/spreadsheets/d/19vJNZY_5yjcGF2XGBMNZRCAIB0Kwfpjp8YEOfu-bneM/edit?usp=sharing"",""งานกองทุน!H88"")"),60)</f>
        <v>60</v>
      </c>
      <c r="J824" s="880">
        <f ca="1">IFERROR(__xludf.DUMMYFUNCTION("IMPORTRANGE(""https://docs.google.com/spreadsheets/d/19vJNZY_5yjcGF2XGBMNZRCAIB0Kwfpjp8YEOfu-bneM/edit?usp=sharing"",""งานกองทุน!J88"")"),48)</f>
        <v>48</v>
      </c>
      <c r="K824" s="881">
        <f t="shared" ca="1" si="335"/>
        <v>80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IFERROR(__xludf.DUMMYFUNCTION("IMPORTRANGE(""https://docs.google.com/spreadsheets/d/19vJNZY_5yjcGF2XGBMNZRCAIB0Kwfpjp8YEOfu-bneM/edit?usp=sharing"",""งานกองทุน!N88"")"),6822)</f>
        <v>6822</v>
      </c>
      <c r="J825" s="880">
        <f ca="1">IFERROR(__xludf.DUMMYFUNCTION("IMPORTRANGE(""https://docs.google.com/spreadsheets/d/19vJNZY_5yjcGF2XGBMNZRCAIB0Kwfpjp8YEOfu-bneM/edit?usp=sharing"",""งานกองทุน!P88"")"),236594)</f>
        <v>236594</v>
      </c>
      <c r="K825" s="881">
        <f t="shared" ca="1" si="335"/>
        <v>3468.1031955438289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IFERROR(__xludf.DUMMYFUNCTION("IMPORTRANGE(""https://docs.google.com/spreadsheets/d/19vJNZY_5yjcGF2XGBMNZRCAIB0Kwfpjp8YEOfu-bneM/edit?usp=sharing"",""งานกองทุน!M88"")"),10)</f>
        <v>10</v>
      </c>
      <c r="J826" s="880">
        <f ca="1">IFERROR(__xludf.DUMMYFUNCTION("IMPORTRANGE(""https://docs.google.com/spreadsheets/d/19vJNZY_5yjcGF2XGBMNZRCAIB0Kwfpjp8YEOfu-bneM/edit?usp=sharing"",""งานกองทุน!O88"")"),66)</f>
        <v>66</v>
      </c>
      <c r="K826" s="881">
        <f t="shared" ca="1" si="335"/>
        <v>660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IFERROR(__xludf.DUMMYFUNCTION("IMPORTRANGE(""https://docs.google.com/spreadsheets/d/19vJNZY_5yjcGF2XGBMNZRCAIB0Kwfpjp8YEOfu-bneM/edit?usp=sharing"",""งานกองทุน!S88"")"),2150000)</f>
        <v>2150000</v>
      </c>
      <c r="J827" s="880">
        <f ca="1">IFERROR(__xludf.DUMMYFUNCTION("IMPORTRANGE(""https://docs.google.com/spreadsheets/d/19vJNZY_5yjcGF2XGBMNZRCAIB0Kwfpjp8YEOfu-bneM/edit?usp=sharing"",""งานกองทุน!U88"")"),950000)</f>
        <v>950000</v>
      </c>
      <c r="K827" s="881">
        <f t="shared" ca="1" si="335"/>
        <v>44.186046511627907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IFERROR(__xludf.DUMMYFUNCTION("IMPORTRANGE(""https://docs.google.com/spreadsheets/d/19vJNZY_5yjcGF2XGBMNZRCAIB0Kwfpjp8YEOfu-bneM/edit?usp=sharing"",""งานกองทุน!R88"")"),86)</f>
        <v>86</v>
      </c>
      <c r="J828" s="1138">
        <f ca="1">IFERROR(__xludf.DUMMYFUNCTION("IMPORTRANGE(""https://docs.google.com/spreadsheets/d/19vJNZY_5yjcGF2XGBMNZRCAIB0Kwfpjp8YEOfu-bneM/edit?usp=sharing"",""งานกองทุน!T88"")"),19)</f>
        <v>19</v>
      </c>
      <c r="K828" s="1239">
        <f t="shared" ca="1" si="335"/>
        <v>22.093023255813954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E159A-C0E2-4DC1-8BB0-21B51B824261}">
  <sheetPr>
    <outlinePr summaryBelow="0" summaryRight="0"/>
    <pageSetUpPr fitToPage="1"/>
  </sheetPr>
  <dimension ref="A1:Z828"/>
  <sheetViews>
    <sheetView zoomScale="85" zoomScaleNormal="85" workbookViewId="0">
      <pane ySplit="2" topLeftCell="A3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9" width="14.5703125" style="852" bestFit="1" customWidth="1"/>
    <col min="10" max="10" width="13.7109375" style="852" bestFit="1" customWidth="1"/>
    <col min="11" max="11" width="13.28515625" style="852" bestFit="1" customWidth="1"/>
    <col min="12" max="14" width="22" style="852" bestFit="1" customWidth="1"/>
    <col min="15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331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68558997</v>
      </c>
      <c r="M8" s="867">
        <f t="shared" ca="1" si="0"/>
        <v>68057697</v>
      </c>
      <c r="N8" s="867">
        <f t="shared" ca="1" si="0"/>
        <v>22575741.359999999</v>
      </c>
      <c r="O8" s="867">
        <f t="shared" ref="O8:O16" ca="1" si="1">IF(L8&gt;0,N8*100/L8,0)</f>
        <v>32.928925958470487</v>
      </c>
      <c r="P8" s="867">
        <f t="shared" ref="P8:P16" ca="1" si="2">IF(M8&gt;0,N8*100/M8,0)</f>
        <v>33.17147413906762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68558997</v>
      </c>
      <c r="M10" s="874">
        <f t="shared" ca="1" si="3"/>
        <v>68057697</v>
      </c>
      <c r="N10" s="874">
        <f t="shared" ca="1" si="3"/>
        <v>22575741.359999999</v>
      </c>
      <c r="O10" s="874">
        <f t="shared" ca="1" si="1"/>
        <v>32.928925958470487</v>
      </c>
      <c r="P10" s="874">
        <f t="shared" ca="1" si="2"/>
        <v>33.17147413906762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4861197</v>
      </c>
      <c r="M11" s="881">
        <f t="shared" ca="1" si="4"/>
        <v>4364687</v>
      </c>
      <c r="N11" s="881">
        <f t="shared" ca="1" si="4"/>
        <v>2258849.04</v>
      </c>
      <c r="O11" s="881">
        <f t="shared" ca="1" si="1"/>
        <v>46.466930675716291</v>
      </c>
      <c r="P11" s="881">
        <f t="shared" ca="1" si="2"/>
        <v>51.752829928010875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4861197</v>
      </c>
      <c r="M13" s="887">
        <f t="shared" ca="1" si="5"/>
        <v>4364687</v>
      </c>
      <c r="N13" s="887">
        <f t="shared" ca="1" si="5"/>
        <v>2258849.04</v>
      </c>
      <c r="O13" s="887">
        <f t="shared" ca="1" si="1"/>
        <v>46.466930675716291</v>
      </c>
      <c r="P13" s="887">
        <f t="shared" ca="1" si="2"/>
        <v>51.752829928010875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63697800</v>
      </c>
      <c r="M14" s="881">
        <f t="shared" ca="1" si="6"/>
        <v>63693010</v>
      </c>
      <c r="N14" s="881">
        <f t="shared" ca="1" si="6"/>
        <v>20316892.32</v>
      </c>
      <c r="O14" s="881">
        <f t="shared" ca="1" si="1"/>
        <v>31.895752003993859</v>
      </c>
      <c r="P14" s="881">
        <f t="shared" ca="1" si="2"/>
        <v>31.898150707589419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63697800</v>
      </c>
      <c r="M16" s="893">
        <f t="shared" ca="1" si="7"/>
        <v>63693010</v>
      </c>
      <c r="N16" s="893">
        <f t="shared" ca="1" si="7"/>
        <v>20316892.32</v>
      </c>
      <c r="O16" s="893">
        <f t="shared" ca="1" si="1"/>
        <v>31.895752003993859</v>
      </c>
      <c r="P16" s="893">
        <f t="shared" ca="1" si="2"/>
        <v>31.898150707589419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66825420</v>
      </c>
      <c r="M18" s="867">
        <f t="shared" ca="1" si="8"/>
        <v>66324120</v>
      </c>
      <c r="N18" s="867">
        <f t="shared" ca="1" si="8"/>
        <v>22062886.02</v>
      </c>
      <c r="O18" s="867">
        <f t="shared" ref="O18:O26" ca="1" si="9">IF(L18&gt;0,N18*100/L18,0)</f>
        <v>33.015708722818353</v>
      </c>
      <c r="P18" s="867">
        <f t="shared" ref="P18:P26" ca="1" si="10">IF(M18&gt;0,N18*100/M18,0)</f>
        <v>33.265252550655781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66825420</v>
      </c>
      <c r="M20" s="874">
        <f t="shared" ca="1" si="11"/>
        <v>66324120</v>
      </c>
      <c r="N20" s="874">
        <f t="shared" ca="1" si="11"/>
        <v>22062886.02</v>
      </c>
      <c r="O20" s="874">
        <f t="shared" ca="1" si="9"/>
        <v>33.015708722818353</v>
      </c>
      <c r="P20" s="874">
        <f t="shared" ca="1" si="10"/>
        <v>33.265252550655781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3127620</v>
      </c>
      <c r="M21" s="881">
        <f t="shared" ca="1" si="12"/>
        <v>2631110</v>
      </c>
      <c r="N21" s="881">
        <f t="shared" ca="1" si="12"/>
        <v>1745993.7</v>
      </c>
      <c r="O21" s="881">
        <f t="shared" ca="1" si="9"/>
        <v>55.824994724423043</v>
      </c>
      <c r="P21" s="881">
        <f t="shared" ca="1" si="10"/>
        <v>66.35958587820349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3127620</v>
      </c>
      <c r="M23" s="887">
        <f t="shared" ca="1" si="13"/>
        <v>2631110</v>
      </c>
      <c r="N23" s="887">
        <f t="shared" ca="1" si="13"/>
        <v>1745993.7</v>
      </c>
      <c r="O23" s="887">
        <f t="shared" ca="1" si="9"/>
        <v>55.824994724423043</v>
      </c>
      <c r="P23" s="887">
        <f t="shared" ca="1" si="10"/>
        <v>66.35958587820349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63697800</v>
      </c>
      <c r="M24" s="881">
        <f t="shared" ca="1" si="14"/>
        <v>63693010</v>
      </c>
      <c r="N24" s="881">
        <f t="shared" ca="1" si="14"/>
        <v>20316892.32</v>
      </c>
      <c r="O24" s="881">
        <f t="shared" ca="1" si="9"/>
        <v>31.895752003993859</v>
      </c>
      <c r="P24" s="881">
        <f t="shared" ca="1" si="10"/>
        <v>31.898150707589419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63697800</v>
      </c>
      <c r="M26" s="893">
        <f t="shared" ca="1" si="15"/>
        <v>63693010</v>
      </c>
      <c r="N26" s="893">
        <f t="shared" ca="1" si="15"/>
        <v>20316892.32</v>
      </c>
      <c r="O26" s="893">
        <f t="shared" ca="1" si="9"/>
        <v>31.895752003993859</v>
      </c>
      <c r="P26" s="893">
        <f t="shared" ca="1" si="10"/>
        <v>31.898150707589419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1733577</v>
      </c>
      <c r="M28" s="867">
        <f t="shared" ca="1" si="16"/>
        <v>1733577</v>
      </c>
      <c r="N28" s="867">
        <f t="shared" si="16"/>
        <v>512855.34</v>
      </c>
      <c r="O28" s="867">
        <f t="shared" ref="O28:O37" ca="1" si="17">IF(L28&gt;0,N28*100/L28,0)</f>
        <v>29.583649298531302</v>
      </c>
      <c r="P28" s="867">
        <f t="shared" ref="P28:P37" ca="1" si="18">IF(M28&gt;0,N28*100/M28,0)</f>
        <v>29.583649298531302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1733577</v>
      </c>
      <c r="M30" s="874">
        <f t="shared" ca="1" si="19"/>
        <v>1733577</v>
      </c>
      <c r="N30" s="874">
        <f t="shared" si="19"/>
        <v>512855.34</v>
      </c>
      <c r="O30" s="874">
        <f t="shared" ca="1" si="17"/>
        <v>29.583649298531302</v>
      </c>
      <c r="P30" s="874">
        <f t="shared" ca="1" si="18"/>
        <v>29.583649298531302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1733577</v>
      </c>
      <c r="M31" s="881">
        <f t="shared" ca="1" si="20"/>
        <v>1733577</v>
      </c>
      <c r="N31" s="881">
        <f t="shared" si="20"/>
        <v>512855.34</v>
      </c>
      <c r="O31" s="881">
        <f t="shared" ca="1" si="17"/>
        <v>29.583649298531302</v>
      </c>
      <c r="P31" s="881">
        <f t="shared" ca="1" si="18"/>
        <v>29.583649298531302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1733577</v>
      </c>
      <c r="M33" s="887">
        <f t="shared" ca="1" si="21"/>
        <v>1733577</v>
      </c>
      <c r="N33" s="887">
        <f t="shared" si="21"/>
        <v>512855.34</v>
      </c>
      <c r="O33" s="887">
        <f t="shared" ca="1" si="17"/>
        <v>29.583649298531302</v>
      </c>
      <c r="P33" s="887">
        <f t="shared" ca="1" si="18"/>
        <v>29.583649298531302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66825420</v>
      </c>
      <c r="M37" s="900">
        <f t="shared" ca="1" si="24"/>
        <v>66324120</v>
      </c>
      <c r="N37" s="900">
        <f t="shared" ca="1" si="24"/>
        <v>22062886.02</v>
      </c>
      <c r="O37" s="900">
        <f t="shared" ca="1" si="17"/>
        <v>33.015708722818353</v>
      </c>
      <c r="P37" s="900">
        <f t="shared" ca="1" si="18"/>
        <v>33.265252550655781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532050</v>
      </c>
      <c r="M41" s="926">
        <f t="shared" ca="1" si="25"/>
        <v>546220</v>
      </c>
      <c r="N41" s="926">
        <f t="shared" ca="1" si="25"/>
        <v>254642.61</v>
      </c>
      <c r="O41" s="926">
        <f t="shared" ref="O41:O49" ca="1" si="26">IF(L41&gt;0,N41*100/L41,0)</f>
        <v>47.860654073865241</v>
      </c>
      <c r="P41" s="926">
        <f t="shared" ref="P41:P49" ca="1" si="27">IF(M41&gt;0,N41*100/M41,0)</f>
        <v>46.619056424151438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532050</v>
      </c>
      <c r="M43" s="932">
        <f t="shared" ca="1" si="28"/>
        <v>546220</v>
      </c>
      <c r="N43" s="932">
        <f t="shared" ca="1" si="28"/>
        <v>254642.61</v>
      </c>
      <c r="O43" s="932">
        <f t="shared" ca="1" si="26"/>
        <v>47.860654073865241</v>
      </c>
      <c r="P43" s="932">
        <f t="shared" ca="1" si="27"/>
        <v>46.619056424151438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532050</v>
      </c>
      <c r="M44" s="881">
        <f t="shared" ca="1" si="29"/>
        <v>546220</v>
      </c>
      <c r="N44" s="881">
        <f t="shared" ca="1" si="29"/>
        <v>254642.61</v>
      </c>
      <c r="O44" s="881">
        <f t="shared" ca="1" si="26"/>
        <v>47.860654073865241</v>
      </c>
      <c r="P44" s="881">
        <f t="shared" ca="1" si="27"/>
        <v>46.619056424151438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IFERROR(__xludf.DUMMYFUNCTION("IMPORTRANGE(""https://docs.google.com/spreadsheets/d/1MeEWN-I1oV_STSDYn1IFDPWt_1FKiwhDph83XaGc0o0/edit?usp=sharing"",""งบพรบ!M75"")"),532050)</f>
        <v>532050</v>
      </c>
      <c r="M46" s="887">
        <f ca="1">IFERROR(__xludf.DUMMYFUNCTION("IMPORTRANGE(""https://docs.google.com/spreadsheets/d/1MeEWN-I1oV_STSDYn1IFDPWt_1FKiwhDph83XaGc0o0/edit?usp=sharing"",""งบพรบ!R75"")"),546220)</f>
        <v>546220</v>
      </c>
      <c r="N46" s="887">
        <f ca="1">IFERROR(__xludf.DUMMYFUNCTION("IMPORTRANGE(""https://docs.google.com/spreadsheets/d/1MeEWN-I1oV_STSDYn1IFDPWt_1FKiwhDph83XaGc0o0/edit?usp=sharing"",""งบพรบ!T75"")"),254642.61)</f>
        <v>254642.61</v>
      </c>
      <c r="O46" s="887">
        <f t="shared" ca="1" si="26"/>
        <v>47.860654073865241</v>
      </c>
      <c r="P46" s="887">
        <f t="shared" ca="1" si="27"/>
        <v>46.619056424151438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IFERROR(__xludf.DUMMYFUNCTION("IMPORTRANGE(""https://docs.google.com/spreadsheets/d/1MeEWN-I1oV_STSDYn1IFDPWt_1FKiwhDph83XaGc0o0/edit?usp=sharing"",""งบพรบ!P75"")"),0)</f>
        <v>0</v>
      </c>
      <c r="M49" s="893">
        <f ca="1">IFERROR(__xludf.DUMMYFUNCTION("IMPORTRANGE(""https://docs.google.com/spreadsheets/d/1MeEWN-I1oV_STSDYn1IFDPWt_1FKiwhDph83XaGc0o0/edit?usp=sharing"",""งบพรบ!S75"")"),0)</f>
        <v>0</v>
      </c>
      <c r="N49" s="893">
        <f ca="1">IFERROR(__xludf.DUMMYFUNCTION("IMPORTRANGE(""https://docs.google.com/spreadsheets/d/1MeEWN-I1oV_STSDYn1IFDPWt_1FKiwhDph83XaGc0o0/edit?usp=sharing"",""งบพรบ!U75"")"),0)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654600</v>
      </c>
      <c r="M53" s="956">
        <f t="shared" ca="1" si="31"/>
        <v>492850</v>
      </c>
      <c r="N53" s="956">
        <f t="shared" ca="1" si="31"/>
        <v>336316.51</v>
      </c>
      <c r="O53" s="956">
        <f t="shared" ref="O53:O61" ca="1" si="32">IF(L53&gt;0,N53*100/L53,0)</f>
        <v>51.37740757714635</v>
      </c>
      <c r="P53" s="956">
        <f t="shared" ref="P53:P61" ca="1" si="33">IF(M53&gt;0,N53*100/M53,0)</f>
        <v>68.239121436542561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654600</v>
      </c>
      <c r="M55" s="962">
        <f t="shared" ca="1" si="34"/>
        <v>492850</v>
      </c>
      <c r="N55" s="962">
        <f t="shared" ca="1" si="34"/>
        <v>336316.51</v>
      </c>
      <c r="O55" s="962">
        <f t="shared" ca="1" si="32"/>
        <v>51.37740757714635</v>
      </c>
      <c r="P55" s="962">
        <f t="shared" ca="1" si="33"/>
        <v>68.239121436542561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654600</v>
      </c>
      <c r="M56" s="881">
        <f t="shared" ca="1" si="35"/>
        <v>492850</v>
      </c>
      <c r="N56" s="881">
        <f t="shared" ca="1" si="35"/>
        <v>336316.51</v>
      </c>
      <c r="O56" s="881">
        <f t="shared" ca="1" si="32"/>
        <v>51.37740757714635</v>
      </c>
      <c r="P56" s="881">
        <f t="shared" ca="1" si="33"/>
        <v>68.239121436542561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IFERROR(__xludf.DUMMYFUNCTION("IMPORTRANGE(""https://docs.google.com/spreadsheets/d/1MeEWN-I1oV_STSDYn1IFDPWt_1FKiwhDph83XaGc0o0/edit?usp=sharing"",""งบพรบ!W75"")"),654600)</f>
        <v>654600</v>
      </c>
      <c r="M58" s="887">
        <f ca="1">IFERROR(__xludf.DUMMYFUNCTION("IMPORTRANGE(""https://docs.google.com/spreadsheets/d/1MeEWN-I1oV_STSDYn1IFDPWt_1FKiwhDph83XaGc0o0/edit?usp=sharing"",""งบพรบ!AB75"")"),492850)</f>
        <v>492850</v>
      </c>
      <c r="N58" s="887">
        <f ca="1">IFERROR(__xludf.DUMMYFUNCTION("IMPORTRANGE(""https://docs.google.com/spreadsheets/d/1MeEWN-I1oV_STSDYn1IFDPWt_1FKiwhDph83XaGc0o0/edit?usp=sharing"",""งบพรบ!AD75"")"),336316.51)</f>
        <v>336316.51</v>
      </c>
      <c r="O58" s="887">
        <f t="shared" ca="1" si="32"/>
        <v>51.37740757714635</v>
      </c>
      <c r="P58" s="887">
        <f t="shared" ca="1" si="33"/>
        <v>68.239121436542561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0</v>
      </c>
      <c r="M59" s="881">
        <f t="shared" ca="1" si="36"/>
        <v>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IFERROR(__xludf.DUMMYFUNCTION("IMPORTRANGE(""https://docs.google.com/spreadsheets/d/1MeEWN-I1oV_STSDYn1IFDPWt_1FKiwhDph83XaGc0o0/edit?usp=sharing"",""งบพรบ!Z75"")"),0)</f>
        <v>0</v>
      </c>
      <c r="M61" s="893">
        <f ca="1">IFERROR(__xludf.DUMMYFUNCTION("IMPORTRANGE(""https://docs.google.com/spreadsheets/d/1MeEWN-I1oV_STSDYn1IFDPWt_1FKiwhDph83XaGc0o0/edit?usp=sharing"",""งบพรบ!AC75"")"),0)</f>
        <v>0</v>
      </c>
      <c r="N61" s="893">
        <f ca="1">IFERROR(__xludf.DUMMYFUNCTION("IMPORTRANGE(""https://docs.google.com/spreadsheets/d/1MeEWN-I1oV_STSDYn1IFDPWt_1FKiwhDph83XaGc0o0/edit?usp=sharing"",""งบพรบ!AE75"")"),0)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1</v>
      </c>
      <c r="J64" s="982">
        <f t="shared" si="37"/>
        <v>1</v>
      </c>
      <c r="K64" s="983">
        <f t="shared" ref="K64:K65" ca="1" si="38">IF(I64&gt;0,J64*100/I64,0)</f>
        <v>100</v>
      </c>
      <c r="L64" s="984"/>
      <c r="M64" s="984"/>
      <c r="N64" s="984"/>
      <c r="O64" s="984"/>
      <c r="P64" s="984"/>
    </row>
    <row r="65" spans="1:26" ht="19.5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30</v>
      </c>
      <c r="J65" s="982">
        <f t="shared" si="37"/>
        <v>30</v>
      </c>
      <c r="K65" s="983">
        <f t="shared" ca="1" si="38"/>
        <v>100</v>
      </c>
      <c r="L65" s="984"/>
      <c r="M65" s="984"/>
      <c r="N65" s="984"/>
      <c r="O65" s="984"/>
      <c r="P65" s="984"/>
    </row>
    <row r="66" spans="1:26" ht="19.5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688200</v>
      </c>
      <c r="M66" s="992">
        <f t="shared" ca="1" si="39"/>
        <v>529900</v>
      </c>
      <c r="N66" s="992">
        <f t="shared" ca="1" si="39"/>
        <v>368107.56</v>
      </c>
      <c r="O66" s="992">
        <f t="shared" ref="O66:O74" ca="1" si="40">IF(L66&gt;0,N66*100/L66,0)</f>
        <v>53.488456843940718</v>
      </c>
      <c r="P66" s="992">
        <f t="shared" ref="P66:P74" ca="1" si="41">IF(M66&gt;0,N66*100/M66,0)</f>
        <v>69.467363653519527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688200</v>
      </c>
      <c r="M68" s="887">
        <f t="shared" ca="1" si="42"/>
        <v>529900</v>
      </c>
      <c r="N68" s="887">
        <f t="shared" ca="1" si="42"/>
        <v>368107.56</v>
      </c>
      <c r="O68" s="887">
        <f t="shared" ca="1" si="40"/>
        <v>53.488456843940718</v>
      </c>
      <c r="P68" s="887">
        <f t="shared" ca="1" si="41"/>
        <v>69.467363653519527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688200</v>
      </c>
      <c r="M69" s="881">
        <f t="shared" ca="1" si="43"/>
        <v>529900</v>
      </c>
      <c r="N69" s="881">
        <f t="shared" ca="1" si="43"/>
        <v>368107.56</v>
      </c>
      <c r="O69" s="881">
        <f t="shared" ca="1" si="40"/>
        <v>53.488456843940718</v>
      </c>
      <c r="P69" s="881">
        <f t="shared" ca="1" si="41"/>
        <v>69.467363653519527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IFERROR(__xludf.DUMMYFUNCTION("IMPORTRANGE(""https://docs.google.com/spreadsheets/d/1MeEWN-I1oV_STSDYn1IFDPWt_1FKiwhDph83XaGc0o0/edit?usp=sharing"",""งบพรบ!AG75"")"),688200)</f>
        <v>688200</v>
      </c>
      <c r="M71" s="887">
        <f ca="1">IFERROR(__xludf.DUMMYFUNCTION("IMPORTRANGE(""https://docs.google.com/spreadsheets/d/1MeEWN-I1oV_STSDYn1IFDPWt_1FKiwhDph83XaGc0o0/edit?usp=sharing"",""งบพรบ!AL75"")"),529900)</f>
        <v>529900</v>
      </c>
      <c r="N71" s="887">
        <f ca="1">IFERROR(__xludf.DUMMYFUNCTION("IMPORTRANGE(""https://docs.google.com/spreadsheets/d/1MeEWN-I1oV_STSDYn1IFDPWt_1FKiwhDph83XaGc0o0/edit?usp=sharing"",""งบพรบ!AN75"")"),368107.56)</f>
        <v>368107.56</v>
      </c>
      <c r="O71" s="887">
        <f t="shared" ca="1" si="40"/>
        <v>53.488456843940718</v>
      </c>
      <c r="P71" s="887">
        <f t="shared" ca="1" si="41"/>
        <v>69.467363653519527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IFERROR(__xludf.DUMMYFUNCTION("IMPORTRANGE(""https://docs.google.com/spreadsheets/d/1MeEWN-I1oV_STSDYn1IFDPWt_1FKiwhDph83XaGc0o0/edit?usp=sharing"",""งบพรบ!AJ75"")"),0)</f>
        <v>0</v>
      </c>
      <c r="M74" s="887">
        <f ca="1">IFERROR(__xludf.DUMMYFUNCTION("IMPORTRANGE(""https://docs.google.com/spreadsheets/d/1MeEWN-I1oV_STSDYn1IFDPWt_1FKiwhDph83XaGc0o0/edit?usp=sharing"",""งบพรบ!AM75"")"),0)</f>
        <v>0</v>
      </c>
      <c r="N74" s="887">
        <f ca="1">IFERROR(__xludf.DUMMYFUNCTION("IMPORTRANGE(""https://docs.google.com/spreadsheets/d/1MeEWN-I1oV_STSDYn1IFDPWt_1FKiwhDph83XaGc0o0/edit?usp=sharing"",""งบพรบ!AO75"")"),0)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1</v>
      </c>
      <c r="J76" s="880">
        <f t="shared" si="45"/>
        <v>1</v>
      </c>
      <c r="K76" s="998">
        <f t="shared" ref="K76:K84" ca="1" si="46">IF(I76&gt;0,J76*100/I76,0)</f>
        <v>100</v>
      </c>
      <c r="L76" s="998"/>
      <c r="M76" s="998"/>
      <c r="N76" s="998"/>
      <c r="O76" s="998"/>
      <c r="P76" s="998"/>
    </row>
    <row r="77" spans="1:26" ht="19.5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30</v>
      </c>
      <c r="J77" s="880">
        <f t="shared" si="45"/>
        <v>30</v>
      </c>
      <c r="K77" s="998">
        <f t="shared" ca="1" si="46"/>
        <v>100</v>
      </c>
      <c r="L77" s="998"/>
      <c r="M77" s="998"/>
      <c r="N77" s="998"/>
      <c r="O77" s="998"/>
      <c r="P77" s="998"/>
    </row>
    <row r="78" spans="1:26" ht="18.75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IFERROR(__xludf.DUMMYFUNCTION("IMPORTRANGE(""https://docs.google.com/spreadsheets/d/1QqKyyYR6Q21VydFLVH3TRQUabQu_ym0Zz7PgGX0-kHA/edit?usp=sharing"",""แผน!H75"")"),0)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IFERROR(__xludf.DUMMYFUNCTION("IMPORTRANGE(""https://docs.google.com/spreadsheets/d/1QqKyyYR6Q21VydFLVH3TRQUabQu_ym0Zz7PgGX0-kHA/edit?usp=sharing"",""แผน!I75"")"),0)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IFERROR(__xludf.DUMMYFUNCTION("IMPORTRANGE(""https://docs.google.com/spreadsheets/d/1QqKyyYR6Q21VydFLVH3TRQUabQu_ym0Zz7PgGX0-kHA/edit?usp=sharing"",""แผน!F75"")"),0)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IFERROR(__xludf.DUMMYFUNCTION("IMPORTRANGE(""https://docs.google.com/spreadsheets/d/1QqKyyYR6Q21VydFLVH3TRQUabQu_ym0Zz7PgGX0-kHA/edit?usp=sharing"",""แผน!G75"")"),0)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IFERROR(__xludf.DUMMYFUNCTION("IMPORTRANGE(""https://docs.google.com/spreadsheets/d/1QqKyyYR6Q21VydFLVH3TRQUabQu_ym0Zz7PgGX0-kHA/edit?usp=sharing"",""แผน!D75"")"),1)</f>
        <v>1</v>
      </c>
      <c r="J82" s="1012">
        <v>1</v>
      </c>
      <c r="K82" s="998">
        <f t="shared" ca="1" si="46"/>
        <v>100</v>
      </c>
      <c r="L82" s="998"/>
      <c r="M82" s="998"/>
      <c r="N82" s="998"/>
      <c r="O82" s="998"/>
      <c r="P82" s="998"/>
    </row>
    <row r="83" spans="1:26" ht="18.75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IFERROR(__xludf.DUMMYFUNCTION("IMPORTRANGE(""https://docs.google.com/spreadsheets/d/1QqKyyYR6Q21VydFLVH3TRQUabQu_ym0Zz7PgGX0-kHA/edit?usp=sharing"",""แผน!E75"")"),30)</f>
        <v>30</v>
      </c>
      <c r="J83" s="1012">
        <v>30</v>
      </c>
      <c r="K83" s="998">
        <f t="shared" ca="1" si="46"/>
        <v>100</v>
      </c>
      <c r="L83" s="998"/>
      <c r="M83" s="998"/>
      <c r="N83" s="998"/>
      <c r="O83" s="998"/>
      <c r="P83" s="998"/>
    </row>
    <row r="84" spans="1:26" ht="18.75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IFERROR(__xludf.DUMMYFUNCTION("IMPORTRANGE(""https://docs.google.com/spreadsheets/d/1QqKyyYR6Q21VydFLVH3TRQUabQu_ym0Zz7PgGX0-kHA/edit?usp=sharing"",""แผน!J75"")"),1)</f>
        <v>1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30</v>
      </c>
      <c r="J86" s="982">
        <f t="shared" si="47"/>
        <v>30</v>
      </c>
      <c r="K86" s="983">
        <f t="shared" ref="K86:K87" ca="1" si="48">IF(I86&gt;0,J86*100/I86,0)</f>
        <v>100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10</v>
      </c>
      <c r="J87" s="982">
        <f t="shared" si="47"/>
        <v>10</v>
      </c>
      <c r="K87" s="983">
        <f t="shared" ca="1" si="48"/>
        <v>100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85840</v>
      </c>
      <c r="M88" s="992">
        <f t="shared" ca="1" si="49"/>
        <v>79140</v>
      </c>
      <c r="N88" s="992">
        <f t="shared" ca="1" si="49"/>
        <v>61353</v>
      </c>
      <c r="O88" s="992">
        <f t="shared" ref="O88:O96" ca="1" si="50">IF(L88&gt;0,N88*100/L88,0)</f>
        <v>71.473671947809876</v>
      </c>
      <c r="P88" s="992">
        <f t="shared" ref="P88:P96" ca="1" si="51">IF(M88&gt;0,N88*100/M88,0)</f>
        <v>77.524639878695979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85840</v>
      </c>
      <c r="M90" s="887">
        <f t="shared" ca="1" si="52"/>
        <v>79140</v>
      </c>
      <c r="N90" s="887">
        <f t="shared" ca="1" si="52"/>
        <v>61353</v>
      </c>
      <c r="O90" s="887">
        <f t="shared" ca="1" si="50"/>
        <v>71.473671947809876</v>
      </c>
      <c r="P90" s="887">
        <f t="shared" ca="1" si="51"/>
        <v>77.524639878695979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85840</v>
      </c>
      <c r="M91" s="881">
        <f t="shared" ca="1" si="53"/>
        <v>79140</v>
      </c>
      <c r="N91" s="881">
        <f t="shared" ca="1" si="53"/>
        <v>61353</v>
      </c>
      <c r="O91" s="881">
        <f t="shared" ca="1" si="50"/>
        <v>71.473671947809876</v>
      </c>
      <c r="P91" s="881">
        <f t="shared" ca="1" si="51"/>
        <v>77.524639878695979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IFERROR(__xludf.DUMMYFUNCTION("IMPORTRANGE(""https://docs.google.com/spreadsheets/d/1MeEWN-I1oV_STSDYn1IFDPWt_1FKiwhDph83XaGc0o0/edit?usp=sharing"",""งบพรบ!AQ75"")"),85840)</f>
        <v>85840</v>
      </c>
      <c r="M93" s="887">
        <f ca="1">IFERROR(__xludf.DUMMYFUNCTION("IMPORTRANGE(""https://docs.google.com/spreadsheets/d/1MeEWN-I1oV_STSDYn1IFDPWt_1FKiwhDph83XaGc0o0/edit?usp=sharing"",""งบพรบ!AV75"")"),79140)</f>
        <v>79140</v>
      </c>
      <c r="N93" s="887">
        <f ca="1">IFERROR(__xludf.DUMMYFUNCTION("IMPORTRANGE(""https://docs.google.com/spreadsheets/d/1MeEWN-I1oV_STSDYn1IFDPWt_1FKiwhDph83XaGc0o0/edit?usp=sharing"",""งบพรบ!AX75"")"),61353)</f>
        <v>61353</v>
      </c>
      <c r="O93" s="887">
        <f t="shared" ca="1" si="50"/>
        <v>71.473671947809876</v>
      </c>
      <c r="P93" s="887">
        <f t="shared" ca="1" si="51"/>
        <v>77.524639878695979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IFERROR(__xludf.DUMMYFUNCTION("IMPORTRANGE(""https://docs.google.com/spreadsheets/d/1MeEWN-I1oV_STSDYn1IFDPWt_1FKiwhDph83XaGc0o0/edit?usp=sharing"",""งบพรบ!AT75"")"),0)</f>
        <v>0</v>
      </c>
      <c r="M96" s="887">
        <f ca="1">IFERROR(__xludf.DUMMYFUNCTION("IMPORTRANGE(""https://docs.google.com/spreadsheets/d/1MeEWN-I1oV_STSDYn1IFDPWt_1FKiwhDph83XaGc0o0/edit?usp=sharing"",""งบพรบ!AW75"")"),0)</f>
        <v>0</v>
      </c>
      <c r="N96" s="887">
        <f ca="1">IFERROR(__xludf.DUMMYFUNCTION("IMPORTRANGE(""https://docs.google.com/spreadsheets/d/1MeEWN-I1oV_STSDYn1IFDPWt_1FKiwhDph83XaGc0o0/edit?usp=sharing"",""งบพรบ!AY75"")"),0)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IFERROR(__xludf.DUMMYFUNCTION("IMPORTRANGE(""https://docs.google.com/spreadsheets/d/1QqKyyYR6Q21VydFLVH3TRQUabQu_ym0Zz7PgGX0-kHA/edit?usp=sharing"",""แผน!K75"")"),30)</f>
        <v>30</v>
      </c>
      <c r="J98" s="880">
        <f>J102</f>
        <v>30</v>
      </c>
      <c r="K98" s="881">
        <f t="shared" ref="K98:K100" ca="1" si="55">IF(I98&gt;0,J98*100/I98,0)</f>
        <v>100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IFERROR(__xludf.DUMMYFUNCTION("IMPORTRANGE(""https://docs.google.com/spreadsheets/d/1QqKyyYR6Q21VydFLVH3TRQUabQu_ym0Zz7PgGX0-kHA/edit?usp=sharing"",""แผน!L75"")"),10)</f>
        <v>10</v>
      </c>
      <c r="J99" s="880">
        <f>J104</f>
        <v>10</v>
      </c>
      <c r="K99" s="881">
        <f t="shared" ca="1" si="55"/>
        <v>100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IFERROR(__xludf.DUMMYFUNCTION("IMPORTRANGE(""https://docs.google.com/spreadsheets/d/1QqKyyYR6Q21VydFLVH3TRQUabQu_ym0Zz7PgGX0-kHA/edit?usp=sharing"",""แผน!M75"")"),2)</f>
        <v>2</v>
      </c>
      <c r="J100" s="880">
        <f>J107+J110</f>
        <v>2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IFERROR(__xludf.DUMMYFUNCTION("IMPORTRANGE(""https://docs.google.com/spreadsheets/d/1QqKyyYR6Q21VydFLVH3TRQUabQu_ym0Zz7PgGX0-kHA/edit?usp=sharing"",""แผน!N75"")"),30)</f>
        <v>30</v>
      </c>
      <c r="J102" s="1012">
        <v>30</v>
      </c>
      <c r="K102" s="881">
        <f t="shared" ref="K102:K104" ca="1" si="56">IF(I102&gt;0,J102*100/I102,0)</f>
        <v>100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IFERROR(__xludf.DUMMYFUNCTION("IMPORTRANGE(""https://docs.google.com/spreadsheets/d/1QqKyyYR6Q21VydFLVH3TRQUabQu_ym0Zz7PgGX0-kHA/edit?usp=sharing"",""แผน!O75"")"),10)</f>
        <v>10</v>
      </c>
      <c r="J103" s="1012">
        <v>10</v>
      </c>
      <c r="K103" s="881">
        <f t="shared" ca="1" si="56"/>
        <v>100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IFERROR(__xludf.DUMMYFUNCTION("IMPORTRANGE(""https://docs.google.com/spreadsheets/d/1QqKyyYR6Q21VydFLVH3TRQUabQu_ym0Zz7PgGX0-kHA/edit?usp=sharing"",""แผน!O75"")"),10)</f>
        <v>10</v>
      </c>
      <c r="J104" s="1012">
        <v>10</v>
      </c>
      <c r="K104" s="881">
        <f t="shared" ca="1" si="56"/>
        <v>100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IFERROR(__xludf.DUMMYFUNCTION("IMPORTRANGE(""https://docs.google.com/spreadsheets/d/1QqKyyYR6Q21VydFLVH3TRQUabQu_ym0Zz7PgGX0-kHA/edit?usp=sharing"",""แผน!P75"")"),1)</f>
        <v>1</v>
      </c>
      <c r="J106" s="1012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IFERROR(__xludf.DUMMYFUNCTION("IMPORTRANGE(""https://docs.google.com/spreadsheets/d/1QqKyyYR6Q21VydFLVH3TRQUabQu_ym0Zz7PgGX0-kHA/edit?usp=sharing"",""แผน!P75"")"),1)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IFERROR(__xludf.DUMMYFUNCTION("IMPORTRANGE(""https://docs.google.com/spreadsheets/d/1QqKyyYR6Q21VydFLVH3TRQUabQu_ym0Zz7PgGX0-kHA/edit?usp=sharing"",""แผน!Q75"")"),1)</f>
        <v>1</v>
      </c>
      <c r="J109" s="1012">
        <v>1</v>
      </c>
      <c r="K109" s="881">
        <f t="shared" ref="K109:K116" ca="1" si="58">IF(I109&gt;0,J109*100/I109,0)</f>
        <v>100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IFERROR(__xludf.DUMMYFUNCTION("IMPORTRANGE(""https://docs.google.com/spreadsheets/d/1QqKyyYR6Q21VydFLVH3TRQUabQu_ym0Zz7PgGX0-kHA/edit?usp=sharing"",""แผน!Q75"")"),1)</f>
        <v>1</v>
      </c>
      <c r="J110" s="1012">
        <v>1</v>
      </c>
      <c r="K110" s="881">
        <f t="shared" ca="1" si="58"/>
        <v>100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IFERROR(__xludf.DUMMYFUNCTION("IMPORTRANGE(""https://docs.google.com/spreadsheets/d/1QqKyyYR6Q21VydFLVH3TRQUabQu_ym0Zz7PgGX0-kHA/edit?usp=sharing"",""แผน!R75"")"),10)</f>
        <v>10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2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IFERROR(__xludf.DUMMYFUNCTION("IMPORTRANGE(""https://docs.google.com/spreadsheets/d/1QqKyyYR6Q21VydFLVH3TRQUabQu_ym0Zz7PgGX0-kHA/edit?usp=sharing"",""แผน!R75"")"),10)</f>
        <v>10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IFERROR(__xludf.DUMMYFUNCTION("IMPORTRANGE(""https://docs.google.com/spreadsheets/d/1QqKyyYR6Q21VydFLVH3TRQUabQu_ym0Zz7PgGX0-kHA/edit?usp=sharing"",""แผน!R75"")"),10)</f>
        <v>10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IFERROR(__xludf.DUMMYFUNCTION("IMPORTRANGE(""https://docs.google.com/spreadsheets/d/1QqKyyYR6Q21VydFLVH3TRQUabQu_ym0Zz7PgGX0-kHA/edit?usp=sharing"",""แผน!S75"")"),1)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IFERROR(__xludf.DUMMYFUNCTION("IMPORTRANGE(""https://docs.google.com/spreadsheets/d/1QqKyyYR6Q21VydFLVH3TRQUabQu_ym0Zz7PgGX0-kHA/edit?usp=sharing"",""แผน!T75"")"),1)</f>
        <v>1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>
        <v>0</v>
      </c>
      <c r="J118" s="1027">
        <v>0</v>
      </c>
      <c r="K118" s="984">
        <v>0</v>
      </c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IFERROR(__xludf.DUMMYFUNCTION("IMPORTRANGE(""https://docs.google.com/spreadsheets/d/1MeEWN-I1oV_STSDYn1IFDPWt_1FKiwhDph83XaGc0o0/edit?usp=sharing"",""งบพรบ!BA75"")"),0)</f>
        <v>0</v>
      </c>
      <c r="M124" s="887">
        <f ca="1">IFERROR(__xludf.DUMMYFUNCTION("IMPORTRANGE(""https://docs.google.com/spreadsheets/d/1MeEWN-I1oV_STSDYn1IFDPWt_1FKiwhDph83XaGc0o0/edit?usp=sharing"",""งบพรบ!BF75"")"),0)</f>
        <v>0</v>
      </c>
      <c r="N124" s="887">
        <f ca="1">IFERROR(__xludf.DUMMYFUNCTION("IMPORTRANGE(""https://docs.google.com/spreadsheets/d/1MeEWN-I1oV_STSDYn1IFDPWt_1FKiwhDph83XaGc0o0/edit?usp=sharing"",""งบพรบ!BH75"")"),0)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IFERROR(__xludf.DUMMYFUNCTION("IMPORTRANGE(""https://docs.google.com/spreadsheets/d/1MeEWN-I1oV_STSDYn1IFDPWt_1FKiwhDph83XaGc0o0/edit?usp=sharing"",""งบพรบ!BD75"")"),0)</f>
        <v>0</v>
      </c>
      <c r="M127" s="887">
        <f ca="1">IFERROR(__xludf.DUMMYFUNCTION("IMPORTRANGE(""https://docs.google.com/spreadsheets/d/1MeEWN-I1oV_STSDYn1IFDPWt_1FKiwhDph83XaGc0o0/edit?usp=sharing"",""งบพรบ!BG75"")"),0)</f>
        <v>0</v>
      </c>
      <c r="N127" s="887">
        <f ca="1">IFERROR(__xludf.DUMMYFUNCTION("IMPORTRANGE(""https://docs.google.com/spreadsheets/d/1MeEWN-I1oV_STSDYn1IFDPWt_1FKiwhDph83XaGc0o0/edit?usp=sharing"",""งบพรบ!BI75"")"),0)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IFERROR(__xludf.DUMMYFUNCTION("IMPORTRANGE(""https://docs.google.com/spreadsheets/d/1MeEWN-I1oV_STSDYn1IFDPWt_1FKiwhDph83XaGc0o0/edit?usp=sharing"",""งบพรบ!BK75"")"),0)</f>
        <v>0</v>
      </c>
      <c r="M137" s="887">
        <f ca="1">IFERROR(__xludf.DUMMYFUNCTION("IMPORTRANGE(""https://docs.google.com/spreadsheets/d/1MeEWN-I1oV_STSDYn1IFDPWt_1FKiwhDph83XaGc0o0/edit?usp=sharing"",""งบพรบ!BP75"")"),0)</f>
        <v>0</v>
      </c>
      <c r="N137" s="887">
        <f ca="1">IFERROR(__xludf.DUMMYFUNCTION("IMPORTRANGE(""https://docs.google.com/spreadsheets/d/1MeEWN-I1oV_STSDYn1IFDPWt_1FKiwhDph83XaGc0o0/edit?usp=sharing"",""งบพรบ!BR75"")"),0)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IFERROR(__xludf.DUMMYFUNCTION("IMPORTRANGE(""https://docs.google.com/spreadsheets/d/1MeEWN-I1oV_STSDYn1IFDPWt_1FKiwhDph83XaGc0o0/edit?usp=sharing"",""งบพรบ!BN75"")"),0)</f>
        <v>0</v>
      </c>
      <c r="M140" s="887">
        <f ca="1">IFERROR(__xludf.DUMMYFUNCTION("IMPORTRANGE(""https://docs.google.com/spreadsheets/d/1MeEWN-I1oV_STSDYn1IFDPWt_1FKiwhDph83XaGc0o0/edit?usp=sharing"",""งบพรบ!BQ75"")"),0)</f>
        <v>0</v>
      </c>
      <c r="N140" s="887">
        <f ca="1">IFERROR(__xludf.DUMMYFUNCTION("IMPORTRANGE(""https://docs.google.com/spreadsheets/d/1MeEWN-I1oV_STSDYn1IFDPWt_1FKiwhDph83XaGc0o0/edit?usp=sharing"",""งบพรบ!BS75"")"),0)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IFERROR(__xludf.DUMMYFUNCTION("IMPORTRANGE(""https://docs.google.com/spreadsheets/d/1QqKyyYR6Q21VydFLVH3TRQUabQu_ym0Zz7PgGX0-kHA/edit?usp=sharing"",""แผน!U75"")"),0)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IFERROR(__xludf.DUMMYFUNCTION("IMPORTRANGE(""https://docs.google.com/spreadsheets/d/1QqKyyYR6Q21VydFLVH3TRQUabQu_ym0Zz7PgGX0-kHA/edit?usp=sharing"",""แผน!V75"")"),0)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IFERROR(__xludf.DUMMYFUNCTION("IMPORTRANGE(""https://docs.google.com/spreadsheets/d/1QqKyyYR6Q21VydFLVH3TRQUabQu_ym0Zz7PgGX0-kHA/edit?usp=sharing"",""แผน!W75"")"),0)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16980</v>
      </c>
      <c r="N149" s="992">
        <f t="shared" ca="1" si="77"/>
        <v>16980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100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16980</v>
      </c>
      <c r="N151" s="887">
        <f t="shared" ca="1" si="80"/>
        <v>16980</v>
      </c>
      <c r="O151" s="887">
        <f t="shared" ca="1" si="78"/>
        <v>0</v>
      </c>
      <c r="P151" s="887">
        <f t="shared" ca="1" si="79"/>
        <v>100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16980</v>
      </c>
      <c r="N152" s="881">
        <f t="shared" ca="1" si="81"/>
        <v>16980</v>
      </c>
      <c r="O152" s="881">
        <f t="shared" ca="1" si="78"/>
        <v>0</v>
      </c>
      <c r="P152" s="881">
        <f t="shared" ca="1" si="79"/>
        <v>100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IFERROR(__xludf.DUMMYFUNCTION("IMPORTRANGE(""https://docs.google.com/spreadsheets/d/1MeEWN-I1oV_STSDYn1IFDPWt_1FKiwhDph83XaGc0o0/edit?usp=sharing"",""งบพรบ!BU75"")"),0)</f>
        <v>0</v>
      </c>
      <c r="M154" s="887">
        <f ca="1">IFERROR(__xludf.DUMMYFUNCTION("IMPORTRANGE(""https://docs.google.com/spreadsheets/d/1MeEWN-I1oV_STSDYn1IFDPWt_1FKiwhDph83XaGc0o0/edit?usp=sharing"",""งบพรบ!BZ75"")"),16980)</f>
        <v>16980</v>
      </c>
      <c r="N154" s="887">
        <f ca="1">IFERROR(__xludf.DUMMYFUNCTION("IMPORTRANGE(""https://docs.google.com/spreadsheets/d/1MeEWN-I1oV_STSDYn1IFDPWt_1FKiwhDph83XaGc0o0/edit?usp=sharing"",""งบพรบ!CB75"")"),16980)</f>
        <v>16980</v>
      </c>
      <c r="O154" s="887">
        <f t="shared" ca="1" si="78"/>
        <v>0</v>
      </c>
      <c r="P154" s="887">
        <f t="shared" ca="1" si="79"/>
        <v>100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IFERROR(__xludf.DUMMYFUNCTION("IMPORTRANGE(""https://docs.google.com/spreadsheets/d/1MeEWN-I1oV_STSDYn1IFDPWt_1FKiwhDph83XaGc0o0/edit?usp=sharing"",""งบพรบ!BX75"")"),0)</f>
        <v>0</v>
      </c>
      <c r="M157" s="887">
        <f ca="1">IFERROR(__xludf.DUMMYFUNCTION("IMPORTRANGE(""https://docs.google.com/spreadsheets/d/1MeEWN-I1oV_STSDYn1IFDPWt_1FKiwhDph83XaGc0o0/edit?usp=sharing"",""งบพรบ!CA75"")"),0)</f>
        <v>0</v>
      </c>
      <c r="N157" s="887">
        <f ca="1">IFERROR(__xludf.DUMMYFUNCTION("IMPORTRANGE(""https://docs.google.com/spreadsheets/d/1MeEWN-I1oV_STSDYn1IFDPWt_1FKiwhDph83XaGc0o0/edit?usp=sharing"",""งบพรบ!CC75"")"),0)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IFERROR(__xludf.DUMMYFUNCTION("IMPORTRANGE(""https://docs.google.com/spreadsheets/d/1QqKyyYR6Q21VydFLVH3TRQUabQu_ym0Zz7PgGX0-kHA/edit?usp=sharing"",""แผน!X75"")"),0)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 hidden="1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61">
        <f t="shared" ref="I164:J164" ca="1" si="83">I174+I177</f>
        <v>0</v>
      </c>
      <c r="J164" s="1061">
        <f t="shared" si="83"/>
        <v>0</v>
      </c>
      <c r="K164" s="1062">
        <f ca="1">IF(I164&gt;0,J164*100/I164,0)</f>
        <v>0</v>
      </c>
      <c r="L164" s="1062"/>
      <c r="M164" s="1062"/>
      <c r="N164" s="1062"/>
      <c r="O164" s="1062"/>
      <c r="P164" s="1062"/>
    </row>
    <row r="165" spans="1:26" ht="19.5" hidden="1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1">
        <f t="shared" ref="L165:N165" ca="1" si="84">L166+L167</f>
        <v>0</v>
      </c>
      <c r="M165" s="991">
        <f t="shared" ca="1" si="84"/>
        <v>0</v>
      </c>
      <c r="N165" s="991">
        <f t="shared" ca="1" si="84"/>
        <v>0</v>
      </c>
      <c r="O165" s="991">
        <f t="shared" ref="O165:O173" ca="1" si="85">IF(L165&gt;0,N165*100/L165,0)</f>
        <v>0</v>
      </c>
      <c r="P165" s="991">
        <f t="shared" ref="P165:P173" ca="1" si="86">IF(M165&gt;0,N165*100/M165,0)</f>
        <v>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0</v>
      </c>
      <c r="M167" s="887">
        <f t="shared" ca="1" si="87"/>
        <v>0</v>
      </c>
      <c r="N167" s="887">
        <f t="shared" ca="1" si="87"/>
        <v>0</v>
      </c>
      <c r="O167" s="887">
        <f t="shared" ca="1" si="85"/>
        <v>0</v>
      </c>
      <c r="P167" s="887">
        <f t="shared" ca="1" si="86"/>
        <v>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 hidden="1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0</v>
      </c>
      <c r="M168" s="881">
        <f t="shared" ca="1" si="88"/>
        <v>0</v>
      </c>
      <c r="N168" s="881">
        <f t="shared" ca="1" si="88"/>
        <v>0</v>
      </c>
      <c r="O168" s="881">
        <f t="shared" ca="1" si="85"/>
        <v>0</v>
      </c>
      <c r="P168" s="881">
        <f t="shared" ca="1" si="86"/>
        <v>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IFERROR(__xludf.DUMMYFUNCTION("IMPORTRANGE(""https://docs.google.com/spreadsheets/d/1MeEWN-I1oV_STSDYn1IFDPWt_1FKiwhDph83XaGc0o0/edit?usp=sharing"",""งบพรบ!CE75"")"),0)</f>
        <v>0</v>
      </c>
      <c r="M170" s="887">
        <f ca="1">IFERROR(__xludf.DUMMYFUNCTION("IMPORTRANGE(""https://docs.google.com/spreadsheets/d/1MeEWN-I1oV_STSDYn1IFDPWt_1FKiwhDph83XaGc0o0/edit?usp=sharing"",""งบพรบ!CJ75"")"),0)</f>
        <v>0</v>
      </c>
      <c r="N170" s="887">
        <f ca="1">IFERROR(__xludf.DUMMYFUNCTION("IMPORTRANGE(""https://docs.google.com/spreadsheets/d/1MeEWN-I1oV_STSDYn1IFDPWt_1FKiwhDph83XaGc0o0/edit?usp=sharing"",""งบพรบ!CL75"")"),0)</f>
        <v>0</v>
      </c>
      <c r="O170" s="887">
        <f t="shared" ca="1" si="85"/>
        <v>0</v>
      </c>
      <c r="P170" s="887">
        <f t="shared" ca="1" si="86"/>
        <v>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 hidden="1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IFERROR(__xludf.DUMMYFUNCTION("IMPORTRANGE(""https://docs.google.com/spreadsheets/d/1MeEWN-I1oV_STSDYn1IFDPWt_1FKiwhDph83XaGc0o0/edit?usp=sharing"",""งบพรบ!CH75"")"),0)</f>
        <v>0</v>
      </c>
      <c r="M173" s="887">
        <f ca="1">IFERROR(__xludf.DUMMYFUNCTION("IMPORTRANGE(""https://docs.google.com/spreadsheets/d/1MeEWN-I1oV_STSDYn1IFDPWt_1FKiwhDph83XaGc0o0/edit?usp=sharing"",""งบพรบ!CK75"")"),0)</f>
        <v>0</v>
      </c>
      <c r="N173" s="887">
        <f ca="1">IFERROR(__xludf.DUMMYFUNCTION("IMPORTRANGE(""https://docs.google.com/spreadsheets/d/1MeEWN-I1oV_STSDYn1IFDPWt_1FKiwhDph83XaGc0o0/edit?usp=sharing"",""งบพรบ!CM75"")"),0)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 hidden="1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0</v>
      </c>
      <c r="J174" s="1067">
        <f t="shared" si="90"/>
        <v>0</v>
      </c>
      <c r="K174" s="1068">
        <f ca="1">IF(I174&gt;0,J174*100/I174,0)</f>
        <v>0</v>
      </c>
      <c r="L174" s="1068"/>
      <c r="M174" s="1068"/>
      <c r="N174" s="1068"/>
      <c r="O174" s="1068"/>
      <c r="P174" s="1068"/>
    </row>
    <row r="175" spans="1:26" ht="19.5" hidden="1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 hidden="1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IFERROR(__xludf.DUMMYFUNCTION("IMPORTRANGE(""https://docs.google.com/spreadsheets/d/1QqKyyYR6Q21VydFLVH3TRQUabQu_ym0Zz7PgGX0-kHA/edit?usp=sharing"",""แผน!Y75"")"),0)</f>
        <v>0</v>
      </c>
      <c r="J176" s="1012">
        <v>0</v>
      </c>
      <c r="K176" s="998">
        <f ca="1">IF(I176&gt;0,J176*100/I176,0)</f>
        <v>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10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60500</v>
      </c>
      <c r="M181" s="992">
        <f t="shared" ca="1" si="92"/>
        <v>62660</v>
      </c>
      <c r="N181" s="992">
        <f t="shared" ca="1" si="92"/>
        <v>56710</v>
      </c>
      <c r="O181" s="992">
        <f t="shared" ref="O181:O189" ca="1" si="93">IF(L181&gt;0,N181*100/L181,0)</f>
        <v>93.735537190082638</v>
      </c>
      <c r="P181" s="992">
        <f t="shared" ref="P181:P189" ca="1" si="94">IF(M181&gt;0,N181*100/M181,0)</f>
        <v>90.504308969039258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60500</v>
      </c>
      <c r="M183" s="887">
        <f t="shared" ca="1" si="95"/>
        <v>62660</v>
      </c>
      <c r="N183" s="887">
        <f t="shared" ca="1" si="95"/>
        <v>56710</v>
      </c>
      <c r="O183" s="887">
        <f t="shared" ca="1" si="93"/>
        <v>93.735537190082638</v>
      </c>
      <c r="P183" s="887">
        <f t="shared" ca="1" si="94"/>
        <v>90.504308969039258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60500</v>
      </c>
      <c r="M184" s="881">
        <f t="shared" ca="1" si="96"/>
        <v>62660</v>
      </c>
      <c r="N184" s="881">
        <f t="shared" ca="1" si="96"/>
        <v>56710</v>
      </c>
      <c r="O184" s="881">
        <f t="shared" ca="1" si="93"/>
        <v>93.735537190082638</v>
      </c>
      <c r="P184" s="881">
        <f t="shared" ca="1" si="94"/>
        <v>90.504308969039258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IFERROR(__xludf.DUMMYFUNCTION("IMPORTRANGE(""https://docs.google.com/spreadsheets/d/1MeEWN-I1oV_STSDYn1IFDPWt_1FKiwhDph83XaGc0o0/edit?usp=sharing"",""งบพรบ!CO75"")"),60500)</f>
        <v>60500</v>
      </c>
      <c r="M186" s="887">
        <f ca="1">IFERROR(__xludf.DUMMYFUNCTION("IMPORTRANGE(""https://docs.google.com/spreadsheets/d/1MeEWN-I1oV_STSDYn1IFDPWt_1FKiwhDph83XaGc0o0/edit?usp=sharing"",""งบพรบ!CT75"")"),62660)</f>
        <v>62660</v>
      </c>
      <c r="N186" s="887">
        <f ca="1">IFERROR(__xludf.DUMMYFUNCTION("IMPORTRANGE(""https://docs.google.com/spreadsheets/d/1MeEWN-I1oV_STSDYn1IFDPWt_1FKiwhDph83XaGc0o0/edit?usp=sharing"",""งบพรบ!CV75"")"),56710)</f>
        <v>56710</v>
      </c>
      <c r="O186" s="887">
        <f t="shared" ca="1" si="93"/>
        <v>93.735537190082638</v>
      </c>
      <c r="P186" s="887">
        <f t="shared" ca="1" si="94"/>
        <v>90.504308969039258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IFERROR(__xludf.DUMMYFUNCTION("IMPORTRANGE(""https://docs.google.com/spreadsheets/d/1MeEWN-I1oV_STSDYn1IFDPWt_1FKiwhDph83XaGc0o0/edit?usp=sharing"",""งบพรบ!CR75"")"),0)</f>
        <v>0</v>
      </c>
      <c r="M189" s="887">
        <f ca="1">IFERROR(__xludf.DUMMYFUNCTION("IMPORTRANGE(""https://docs.google.com/spreadsheets/d/1MeEWN-I1oV_STSDYn1IFDPWt_1FKiwhDph83XaGc0o0/edit?usp=sharing"",""งบพรบ!CU75"")"),0)</f>
        <v>0</v>
      </c>
      <c r="N189" s="887">
        <f ca="1">IFERROR(__xludf.DUMMYFUNCTION("IMPORTRANGE(""https://docs.google.com/spreadsheets/d/1MeEWN-I1oV_STSDYn1IFDPWt_1FKiwhDph83XaGc0o0/edit?usp=sharing"",""งบพรบ!CW75"")"),0)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IFERROR(__xludf.DUMMYFUNCTION("IMPORTRANGE(""https://docs.google.com/spreadsheets/d/1QqKyyYR6Q21VydFLVH3TRQUabQu_ym0Zz7PgGX0-kHA/edit?usp=sharing"",""แผน!Z75"")"),6000)</f>
        <v>6000</v>
      </c>
      <c r="M191" s="992"/>
      <c r="N191" s="1081">
        <v>1240</v>
      </c>
      <c r="O191" s="992">
        <f ca="1">IF(L191&gt;0,N191*100/L191,0)</f>
        <v>20.666666666666668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IFERROR(__xludf.DUMMYFUNCTION("IMPORTRANGE(""https://docs.google.com/spreadsheets/d/1QqKyyYR6Q21VydFLVH3TRQUabQu_ym0Zz7PgGX0-kHA/edit?usp=sharing"",""แผน!AC75"")"),4)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34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34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2</v>
      </c>
      <c r="J197" s="1078">
        <f t="shared" si="99"/>
        <v>2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26000</v>
      </c>
      <c r="M198" s="992"/>
      <c r="N198" s="992">
        <f>N199+N200+N201+N202</f>
        <v>26000</v>
      </c>
      <c r="O198" s="992">
        <f ca="1">IF(L198&gt;0,N198*100/L198,0)</f>
        <v>100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IFERROR(__xludf.DUMMYFUNCTION("IMPORTRANGE(""https://docs.google.com/spreadsheets/d/1QqKyyYR6Q21VydFLVH3TRQUabQu_ym0Zz7PgGX0-kHA/edit?usp=sharing"",""แผน!AE75"")"),2000)</f>
        <v>2000</v>
      </c>
      <c r="M199" s="881"/>
      <c r="N199" s="1085">
        <v>1893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IFERROR(__xludf.DUMMYFUNCTION("IMPORTRANGE(""https://docs.google.com/spreadsheets/d/1QqKyyYR6Q21VydFLVH3TRQUabQu_ym0Zz7PgGX0-kHA/edit?usp=sharing"",""แผน!AF75"")"),16000)</f>
        <v>16000</v>
      </c>
      <c r="M200" s="881"/>
      <c r="N200" s="1085">
        <v>16017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IFERROR(__xludf.DUMMYFUNCTION("IMPORTRANGE(""https://docs.google.com/spreadsheets/d/1QqKyyYR6Q21VydFLVH3TRQUabQu_ym0Zz7PgGX0-kHA/edit?usp=sharing"",""แผน!AG75"")"),8000)</f>
        <v>8000</v>
      </c>
      <c r="M201" s="881"/>
      <c r="N201" s="1085">
        <v>8090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IFERROR(__xludf.DUMMYFUNCTION("IMPORTRANGE(""https://docs.google.com/spreadsheets/d/1QqKyyYR6Q21VydFLVH3TRQUabQu_ym0Zz7PgGX0-kHA/edit?usp=sharing"",""แผน!AH75"")"),0)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IFERROR(__xludf.DUMMYFUNCTION("IMPORTRANGE(""https://docs.google.com/spreadsheets/d/1QqKyyYR6Q21VydFLVH3TRQUabQu_ym0Zz7PgGX0-kHA/edit?usp=sharing"",""แผน!AI75"")"),2)</f>
        <v>2</v>
      </c>
      <c r="J204" s="1012">
        <v>2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2</v>
      </c>
      <c r="J206" s="1012">
        <v>2</v>
      </c>
      <c r="K206" s="998">
        <f t="shared" ref="K206:K208" si="100">IF(I206&gt;0,J206*100/I206,0)</f>
        <v>100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IFERROR(__xludf.DUMMYFUNCTION("IMPORTRANGE(""https://docs.google.com/spreadsheets/d/1QqKyyYR6Q21VydFLVH3TRQUabQu_ym0Zz7PgGX0-kHA/edit?usp=sharing"",""แผน!AK75"")"),0)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IFERROR(__xludf.DUMMYFUNCTION("IMPORTRANGE(""https://docs.google.com/spreadsheets/d/1QqKyyYR6Q21VydFLVH3TRQUabQu_ym0Zz7PgGX0-kHA/edit?usp=sharing"",""แผน!AL75"")"),0)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IFERROR(__xludf.DUMMYFUNCTION("IMPORTRANGE(""https://docs.google.com/spreadsheets/d/1QqKyyYR6Q21VydFLVH3TRQUabQu_ym0Zz7PgGX0-kHA/edit?usp=sharing"",""แผน!AM75"")"),0)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IFERROR(__xludf.DUMMYFUNCTION("IMPORTRANGE(""https://docs.google.com/spreadsheets/d/1QqKyyYR6Q21VydFLVH3TRQUabQu_ym0Zz7PgGX0-kHA/edit?usp=sharing"",""แผน!AN75"")"),0)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IFERROR(__xludf.DUMMYFUNCTION("IMPORTRANGE(""https://docs.google.com/spreadsheets/d/1QqKyyYR6Q21VydFLVH3TRQUabQu_ym0Zz7PgGX0-kHA/edit?usp=sharing"",""แผน!AN75"")"),0)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50000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28500</v>
      </c>
      <c r="M217" s="992"/>
      <c r="N217" s="992">
        <f>N218+N219+N220</f>
        <v>10000</v>
      </c>
      <c r="O217" s="992">
        <f ca="1">IF(L217&gt;0,N217*100/L217,0)</f>
        <v>35.087719298245617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IFERROR(__xludf.DUMMYFUNCTION("IMPORTRANGE(""https://docs.google.com/spreadsheets/d/1QqKyyYR6Q21VydFLVH3TRQUabQu_ym0Zz7PgGX0-kHA/edit?usp=sharing"",""แผน!AP75"")"),5000)</f>
        <v>5000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IFERROR(__xludf.DUMMYFUNCTION("IMPORTRANGE(""https://docs.google.com/spreadsheets/d/1QqKyyYR6Q21VydFLVH3TRQUabQu_ym0Zz7PgGX0-kHA/edit?usp=sharing"",""แผน!AQ75"")"),13500)</f>
        <v>13500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IFERROR(__xludf.DUMMYFUNCTION("IMPORTRANGE(""https://docs.google.com/spreadsheets/d/1QqKyyYR6Q21VydFLVH3TRQUabQu_ym0Zz7PgGX0-kHA/edit?usp=sharing"",""แผน!AR75"")"),10000)</f>
        <v>10000</v>
      </c>
      <c r="M220" s="881"/>
      <c r="N220" s="1085">
        <v>10000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IFERROR(__xludf.DUMMYFUNCTION("IMPORTRANGE(""https://docs.google.com/spreadsheets/d/1QqKyyYR6Q21VydFLVH3TRQUabQu_ym0Zz7PgGX0-kHA/edit?usp=sharing"",""แผน!AT75"")"),50000)</f>
        <v>50000</v>
      </c>
      <c r="J223" s="1012">
        <v>50000</v>
      </c>
      <c r="K223" s="998">
        <f t="shared" ref="K223:K226" ca="1" si="104">IF(I223&gt;0,J223*100/I223,0)</f>
        <v>100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IFERROR(__xludf.DUMMYFUNCTION("IMPORTRANGE(""https://docs.google.com/spreadsheets/d/1QqKyyYR6Q21VydFLVH3TRQUabQu_ym0Zz7PgGX0-kHA/edit?usp=sharing"",""แผน!AT75"")"),50000)</f>
        <v>50000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IFERROR(__xludf.DUMMYFUNCTION("IMPORTRANGE(""https://docs.google.com/spreadsheets/d/1QqKyyYR6Q21VydFLVH3TRQUabQu_ym0Zz7PgGX0-kHA/edit?usp=sharing"",""แผน!AS75"")"),10)</f>
        <v>10</v>
      </c>
      <c r="J225" s="1012">
        <v>10</v>
      </c>
      <c r="K225" s="998">
        <f t="shared" ca="1" si="104"/>
        <v>100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IFERROR(__xludf.DUMMYFUNCTION("IMPORTRANGE(""https://docs.google.com/spreadsheets/d/1QqKyyYR6Q21VydFLVH3TRQUabQu_ym0Zz7PgGX0-kHA/edit?usp=sharing"",""แผน!AV75"")"),0)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IFERROR(__xludf.DUMMYFUNCTION("IMPORTRANGE(""https://docs.google.com/spreadsheets/d/1QqKyyYR6Q21VydFLVH3TRQUabQu_ym0Zz7PgGX0-kHA/edit?usp=sharing"",""แผน!AW75"")"),0)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IFERROR(__xludf.DUMMYFUNCTION("IMPORTRANGE(""https://docs.google.com/spreadsheets/d/1QqKyyYR6Q21VydFLVH3TRQUabQu_ym0Zz7PgGX0-kHA/edit?usp=sharing"",""แผน!AX75"")"),0)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IFERROR(__xludf.DUMMYFUNCTION("IMPORTRANGE(""https://docs.google.com/spreadsheets/d/1QqKyyYR6Q21VydFLVH3TRQUabQu_ym0Zz7PgGX0-kHA/edit?usp=sharing"",""แผน!AY75"")"),0)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IFERROR(__xludf.DUMMYFUNCTION("IMPORTRANGE(""https://docs.google.com/spreadsheets/d/1QqKyyYR6Q21VydFLVH3TRQUabQu_ym0Zz7PgGX0-kHA/edit?usp=sharing"",""แผน!BE75"")"),0)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IFERROR(__xludf.DUMMYFUNCTION("IMPORTRANGE(""https://docs.google.com/spreadsheets/d/1QqKyyYR6Q21VydFLVH3TRQUabQu_ym0Zz7PgGX0-kHA/edit?usp=sharing"",""แผน!AZ75"")"),0)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IFERROR(__xludf.DUMMYFUNCTION("IMPORTRANGE(""https://docs.google.com/spreadsheets/d/1QqKyyYR6Q21VydFLVH3TRQUabQu_ym0Zz7PgGX0-kHA/edit?usp=sharing"",""แผน!BA75"")"),0)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IFERROR(__xludf.DUMMYFUNCTION("IMPORTRANGE(""https://docs.google.com/spreadsheets/d/1QqKyyYR6Q21VydFLVH3TRQUabQu_ym0Zz7PgGX0-kHA/edit?usp=sharing"",""แผน!BB75"")"),0)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IFERROR(__xludf.DUMMYFUNCTION("IMPORTRANGE(""https://docs.google.com/spreadsheets/d/1QqKyyYR6Q21VydFLVH3TRQUabQu_ym0Zz7PgGX0-kHA/edit?usp=sharing"",""แผน!BC75"")"),0)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IFERROR(__xludf.DUMMYFUNCTION("IMPORTRANGE(""https://docs.google.com/spreadsheets/d/1QqKyyYR6Q21VydFLVH3TRQUabQu_ym0Zz7PgGX0-kHA/edit?usp=sharing"",""แผน!BF75"")"),"")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22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26900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26900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26900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IFERROR(__xludf.DUMMYFUNCTION("IMPORTRANGE(""https://docs.google.com/spreadsheets/d/1MeEWN-I1oV_STSDYn1IFDPWt_1FKiwhDph83XaGc0o0/edit?usp=sharing"",""งบพรบ!CY75"")"),26900)</f>
        <v>26900</v>
      </c>
      <c r="M266" s="887">
        <f ca="1">IFERROR(__xludf.DUMMYFUNCTION("IMPORTRANGE(""https://docs.google.com/spreadsheets/d/1MeEWN-I1oV_STSDYn1IFDPWt_1FKiwhDph83XaGc0o0/edit?usp=sharing"",""งบพรบ!DD75"")"),0)</f>
        <v>0</v>
      </c>
      <c r="N266" s="887">
        <f ca="1">IFERROR(__xludf.DUMMYFUNCTION("IMPORTRANGE(""https://docs.google.com/spreadsheets/d/1MeEWN-I1oV_STSDYn1IFDPWt_1FKiwhDph83XaGc0o0/edit?usp=sharing"",""งบพรบ!DF75"")"),0)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IFERROR(__xludf.DUMMYFUNCTION("IMPORTRANGE(""https://docs.google.com/spreadsheets/d/1MeEWN-I1oV_STSDYn1IFDPWt_1FKiwhDph83XaGc0o0/edit?usp=sharing"",""งบพรบ!DB75"")"),0)</f>
        <v>0</v>
      </c>
      <c r="M269" s="887">
        <f ca="1">IFERROR(__xludf.DUMMYFUNCTION("IMPORTRANGE(""https://docs.google.com/spreadsheets/d/1MeEWN-I1oV_STSDYn1IFDPWt_1FKiwhDph83XaGc0o0/edit?usp=sharing"",""งบพรบ!DE75"")"),0)</f>
        <v>0</v>
      </c>
      <c r="N269" s="887">
        <f ca="1">IFERROR(__xludf.DUMMYFUNCTION("IMPORTRANGE(""https://docs.google.com/spreadsheets/d/1MeEWN-I1oV_STSDYn1IFDPWt_1FKiwhDph83XaGc0o0/edit?usp=sharing"",""งบพรบ!DG75"")"),0)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IFERROR(__xludf.DUMMYFUNCTION("IMPORTRANGE(""https://docs.google.com/spreadsheets/d/1QqKyyYR6Q21VydFLVH3TRQUabQu_ym0Zz7PgGX0-kHA/edit?usp=sharing"",""แผน!EA75"")"),22)</f>
        <v>22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5</v>
      </c>
      <c r="J275" s="1159">
        <f t="shared" ca="1" si="122"/>
        <v>5</v>
      </c>
      <c r="K275" s="1160">
        <f t="shared" ref="K275:K276" ca="1" si="123">IF(I275&gt;0,J275*100/I275,0)</f>
        <v>100</v>
      </c>
      <c r="L275" s="1161"/>
      <c r="M275" s="1161"/>
      <c r="N275" s="1161"/>
      <c r="O275" s="1161"/>
      <c r="P275" s="1161"/>
    </row>
    <row r="276" spans="1:26" ht="19.5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159">
        <f t="shared" ref="I276:J276" ca="1" si="124">I287</f>
        <v>50</v>
      </c>
      <c r="J276" s="1159">
        <f t="shared" si="124"/>
        <v>50</v>
      </c>
      <c r="K276" s="1160">
        <f t="shared" ca="1" si="123"/>
        <v>100</v>
      </c>
      <c r="L276" s="1161"/>
      <c r="M276" s="1161"/>
      <c r="N276" s="1161"/>
      <c r="O276" s="1161"/>
      <c r="P276" s="1161"/>
    </row>
    <row r="277" spans="1:26" ht="19.5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22630</v>
      </c>
      <c r="M277" s="992">
        <f t="shared" ca="1" si="125"/>
        <v>22630</v>
      </c>
      <c r="N277" s="992">
        <f t="shared" ca="1" si="125"/>
        <v>21525</v>
      </c>
      <c r="O277" s="992">
        <f t="shared" ref="O277:O285" ca="1" si="126">IF(L277&gt;0,N277*100/L277,0)</f>
        <v>95.117101193106492</v>
      </c>
      <c r="P277" s="992">
        <f t="shared" ref="P277:P285" ca="1" si="127">IF(M277&gt;0,N277*100/M277,0)</f>
        <v>95.117101193106492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22630</v>
      </c>
      <c r="M279" s="887">
        <f t="shared" ca="1" si="128"/>
        <v>22630</v>
      </c>
      <c r="N279" s="887">
        <f t="shared" ca="1" si="128"/>
        <v>21525</v>
      </c>
      <c r="O279" s="887">
        <f t="shared" ca="1" si="126"/>
        <v>95.117101193106492</v>
      </c>
      <c r="P279" s="887">
        <f t="shared" ca="1" si="127"/>
        <v>95.117101193106492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22630</v>
      </c>
      <c r="M280" s="881">
        <f t="shared" ca="1" si="129"/>
        <v>22630</v>
      </c>
      <c r="N280" s="881">
        <f t="shared" ca="1" si="129"/>
        <v>21525</v>
      </c>
      <c r="O280" s="881">
        <f t="shared" ca="1" si="126"/>
        <v>95.117101193106492</v>
      </c>
      <c r="P280" s="881">
        <f t="shared" ca="1" si="127"/>
        <v>95.117101193106492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IFERROR(__xludf.DUMMYFUNCTION("IMPORTRANGE(""https://docs.google.com/spreadsheets/d/1MeEWN-I1oV_STSDYn1IFDPWt_1FKiwhDph83XaGc0o0/edit?usp=sharing"",""งบพรบ!DI75"")"),22630)</f>
        <v>22630</v>
      </c>
      <c r="M282" s="887">
        <f ca="1">IFERROR(__xludf.DUMMYFUNCTION("IMPORTRANGE(""https://docs.google.com/spreadsheets/d/1MeEWN-I1oV_STSDYn1IFDPWt_1FKiwhDph83XaGc0o0/edit?usp=sharing"",""งบพรบ!DN75"")"),22630)</f>
        <v>22630</v>
      </c>
      <c r="N282" s="887">
        <f ca="1">IFERROR(__xludf.DUMMYFUNCTION("IMPORTRANGE(""https://docs.google.com/spreadsheets/d/1MeEWN-I1oV_STSDYn1IFDPWt_1FKiwhDph83XaGc0o0/edit?usp=sharing"",""งบพรบ!DP75"")"),21525)</f>
        <v>21525</v>
      </c>
      <c r="O282" s="887">
        <f t="shared" ca="1" si="126"/>
        <v>95.117101193106492</v>
      </c>
      <c r="P282" s="887">
        <f t="shared" ca="1" si="127"/>
        <v>95.117101193106492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IFERROR(__xludf.DUMMYFUNCTION("IMPORTRANGE(""https://docs.google.com/spreadsheets/d/1MeEWN-I1oV_STSDYn1IFDPWt_1FKiwhDph83XaGc0o0/edit?usp=sharing"",""งบพรบ!DL75"")"),0)</f>
        <v>0</v>
      </c>
      <c r="M285" s="887">
        <f ca="1">IFERROR(__xludf.DUMMYFUNCTION("IMPORTRANGE(""https://docs.google.com/spreadsheets/d/1MeEWN-I1oV_STSDYn1IFDPWt_1FKiwhDph83XaGc0o0/edit?usp=sharing"",""งบพรบ!DO75"")"),0)</f>
        <v>0</v>
      </c>
      <c r="N285" s="887">
        <f ca="1">IFERROR(__xludf.DUMMYFUNCTION("IMPORTRANGE(""https://docs.google.com/spreadsheets/d/1MeEWN-I1oV_STSDYn1IFDPWt_1FKiwhDph83XaGc0o0/edit?usp=sharing"",""งบพรบ!DQ75"")"),0)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IFERROR(__xludf.DUMMYFUNCTION("IMPORTRANGE(""https://docs.google.com/spreadsheets/d/1QqKyyYR6Q21VydFLVH3TRQUabQu_ym0Zz7PgGX0-kHA/edit?usp=sharing"",""แผน!EC75"")"),50)</f>
        <v>50</v>
      </c>
      <c r="J287" s="1012">
        <v>50</v>
      </c>
      <c r="K287" s="998">
        <f t="shared" ref="K287:K288" ca="1" si="131">IF(I287&gt;0,J287*100/I287,0)</f>
        <v>100</v>
      </c>
      <c r="L287" s="998"/>
      <c r="M287" s="998"/>
      <c r="N287" s="998"/>
      <c r="O287" s="998"/>
      <c r="P287" s="998"/>
    </row>
    <row r="288" spans="1:26" ht="19.5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IFERROR(__xludf.DUMMYFUNCTION("IMPORTRANGE(""https://docs.google.com/spreadsheets/d/1QqKyyYR6Q21VydFLVH3TRQUabQu_ym0Zz7PgGX0-kHA/edit?usp=sharing"",""แผน!EB75"")"),5)</f>
        <v>5</v>
      </c>
      <c r="J288" s="1019">
        <f ca="1">IF(AND(J291&gt;=I288,J294&gt;=I288),J294,0)</f>
        <v>5</v>
      </c>
      <c r="K288" s="1162">
        <f t="shared" ca="1" si="131"/>
        <v>100</v>
      </c>
      <c r="L288" s="998"/>
      <c r="M288" s="998"/>
      <c r="N288" s="998"/>
      <c r="O288" s="998"/>
      <c r="P288" s="998"/>
    </row>
    <row r="289" spans="1:26" ht="19.5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IFERROR(__xludf.DUMMYFUNCTION("IMPORTRANGE(""https://docs.google.com/spreadsheets/d/1QqKyyYR6Q21VydFLVH3TRQUabQu_ym0Zz7PgGX0-kHA/edit?usp=sharing"",""แผน!EB75"")"),5)</f>
        <v>5</v>
      </c>
      <c r="J290" s="1012">
        <v>5</v>
      </c>
      <c r="K290" s="998">
        <f t="shared" ref="K290:K291" ca="1" si="132">IF(I290&gt;0,J290*100/I290,0)</f>
        <v>100</v>
      </c>
      <c r="L290" s="998"/>
      <c r="M290" s="998"/>
      <c r="N290" s="998"/>
      <c r="O290" s="998"/>
      <c r="P290" s="998"/>
    </row>
    <row r="291" spans="1:26" ht="19.5">
      <c r="A291" s="1002"/>
      <c r="B291" s="1003"/>
      <c r="C291" s="1003"/>
      <c r="D291" s="1010"/>
      <c r="E291" s="1014" t="s">
        <v>133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IFERROR(__xludf.DUMMYFUNCTION("IMPORTRANGE(""https://docs.google.com/spreadsheets/d/1QqKyyYR6Q21VydFLVH3TRQUabQu_ym0Zz7PgGX0-kHA/edit?usp=sharing"",""แผน!EB75"")"),5)</f>
        <v>5</v>
      </c>
      <c r="J291" s="1012">
        <v>5</v>
      </c>
      <c r="K291" s="998">
        <f t="shared" ca="1" si="132"/>
        <v>100</v>
      </c>
      <c r="L291" s="998"/>
      <c r="M291" s="998"/>
      <c r="N291" s="998"/>
      <c r="O291" s="998"/>
      <c r="P291" s="998"/>
    </row>
    <row r="292" spans="1:26" ht="19.5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IFERROR(__xludf.DUMMYFUNCTION("IMPORTRANGE(""https://docs.google.com/spreadsheets/d/1QqKyyYR6Q21VydFLVH3TRQUabQu_ym0Zz7PgGX0-kHA/edit?usp=sharing"",""แผน!EB75"")"),5)</f>
        <v>5</v>
      </c>
      <c r="J293" s="1012">
        <v>5</v>
      </c>
      <c r="K293" s="998">
        <f t="shared" ref="K293:K294" ca="1" si="133">IF(I293&gt;0,J293*100/I293,0)</f>
        <v>100</v>
      </c>
      <c r="L293" s="998"/>
      <c r="M293" s="998"/>
      <c r="N293" s="998"/>
      <c r="O293" s="998"/>
      <c r="P293" s="998"/>
    </row>
    <row r="294" spans="1:26" ht="19.5">
      <c r="A294" s="1133"/>
      <c r="B294" s="1134"/>
      <c r="C294" s="1134"/>
      <c r="D294" s="1136"/>
      <c r="E294" s="1169" t="s">
        <v>136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IFERROR(__xludf.DUMMYFUNCTION("IMPORTRANGE(""https://docs.google.com/spreadsheets/d/1QqKyyYR6Q21VydFLVH3TRQUabQu_ym0Zz7PgGX0-kHA/edit?usp=sharing"",""แผน!EB75"")"),5)</f>
        <v>5</v>
      </c>
      <c r="J294" s="1171">
        <v>5</v>
      </c>
      <c r="K294" s="1139">
        <f t="shared" ca="1" si="133"/>
        <v>100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0</v>
      </c>
      <c r="J297" s="1190">
        <f t="shared" si="134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0</v>
      </c>
      <c r="M298" s="992">
        <f t="shared" ca="1" si="135"/>
        <v>0</v>
      </c>
      <c r="N298" s="992">
        <f t="shared" ca="1" si="135"/>
        <v>0</v>
      </c>
      <c r="O298" s="992">
        <f t="shared" ref="O298:O306" ca="1" si="136">IF(L298&gt;0,N298*100/L298,0)</f>
        <v>0</v>
      </c>
      <c r="P298" s="992">
        <f t="shared" ref="P298:P306" ca="1" si="137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0</v>
      </c>
      <c r="M300" s="887">
        <f t="shared" ca="1" si="138"/>
        <v>0</v>
      </c>
      <c r="N300" s="887">
        <f t="shared" ca="1" si="138"/>
        <v>0</v>
      </c>
      <c r="O300" s="887">
        <f t="shared" ca="1" si="136"/>
        <v>0</v>
      </c>
      <c r="P300" s="887">
        <f t="shared" ca="1" si="137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0</v>
      </c>
      <c r="M301" s="881">
        <f t="shared" ca="1" si="139"/>
        <v>0</v>
      </c>
      <c r="N301" s="881">
        <f t="shared" ca="1" si="139"/>
        <v>0</v>
      </c>
      <c r="O301" s="881">
        <f t="shared" ca="1" si="136"/>
        <v>0</v>
      </c>
      <c r="P301" s="881">
        <f t="shared" ca="1" si="137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IFERROR(__xludf.DUMMYFUNCTION("IMPORTRANGE(""https://docs.google.com/spreadsheets/d/1MeEWN-I1oV_STSDYn1IFDPWt_1FKiwhDph83XaGc0o0/edit?usp=sharing"",""งบพรบ!DS75"")"),0)</f>
        <v>0</v>
      </c>
      <c r="M303" s="887">
        <f ca="1">IFERROR(__xludf.DUMMYFUNCTION("IMPORTRANGE(""https://docs.google.com/spreadsheets/d/1MeEWN-I1oV_STSDYn1IFDPWt_1FKiwhDph83XaGc0o0/edit?usp=sharing"",""งบพรบ!DX75"")"),0)</f>
        <v>0</v>
      </c>
      <c r="N303" s="887">
        <f ca="1">IFERROR(__xludf.DUMMYFUNCTION("IMPORTRANGE(""https://docs.google.com/spreadsheets/d/1MeEWN-I1oV_STSDYn1IFDPWt_1FKiwhDph83XaGc0o0/edit?usp=sharing"",""งบพรบ!DZ75"")"),0)</f>
        <v>0</v>
      </c>
      <c r="O303" s="887">
        <f t="shared" ca="1" si="136"/>
        <v>0</v>
      </c>
      <c r="P303" s="887">
        <f t="shared" ca="1" si="137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IFERROR(__xludf.DUMMYFUNCTION("IMPORTRANGE(""https://docs.google.com/spreadsheets/d/1MeEWN-I1oV_STSDYn1IFDPWt_1FKiwhDph83XaGc0o0/edit?usp=sharing"",""งบพรบ!DV75"")"),0)</f>
        <v>0</v>
      </c>
      <c r="M306" s="887">
        <f ca="1">IFERROR(__xludf.DUMMYFUNCTION("IMPORTRANGE(""https://docs.google.com/spreadsheets/d/1MeEWN-I1oV_STSDYn1IFDPWt_1FKiwhDph83XaGc0o0/edit?usp=sharing"",""งบพรบ!DY75"")"),0)</f>
        <v>0</v>
      </c>
      <c r="N306" s="887">
        <f ca="1">IFERROR(__xludf.DUMMYFUNCTION("IMPORTRANGE(""https://docs.google.com/spreadsheets/d/1MeEWN-I1oV_STSDYn1IFDPWt_1FKiwhDph83XaGc0o0/edit?usp=sharing"",""งบพรบ!EA75"")"),0)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IFERROR(__xludf.DUMMYFUNCTION("IMPORTRANGE(""https://docs.google.com/spreadsheets/d/1QqKyyYR6Q21VydFLVH3TRQUabQu_ym0Zz7PgGX0-kHA/edit?usp=sharing"",""แผน!ED75"")"),0)</f>
        <v>0</v>
      </c>
      <c r="J309" s="1012">
        <v>0</v>
      </c>
      <c r="K309" s="881">
        <f t="shared" ref="K309:K312" ca="1" si="141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IFERROR(__xludf.DUMMYFUNCTION("IMPORTRANGE(""https://docs.google.com/spreadsheets/d/1QqKyyYR6Q21VydFLVH3TRQUabQu_ym0Zz7PgGX0-kHA/edit?usp=sharing"",""แผน!ED75"")"),0)</f>
        <v>0</v>
      </c>
      <c r="J310" s="1012">
        <v>0</v>
      </c>
      <c r="K310" s="881">
        <f t="shared" ca="1" si="141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IFERROR(__xludf.DUMMYFUNCTION("IMPORTRANGE(""https://docs.google.com/spreadsheets/d/1QqKyyYR6Q21VydFLVH3TRQUabQu_ym0Zz7PgGX0-kHA/edit?usp=sharing"",""แผน!ED75"")"),0)</f>
        <v>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IFERROR(__xludf.DUMMYFUNCTION("IMPORTRANGE(""https://docs.google.com/spreadsheets/d/1QqKyyYR6Q21VydFLVH3TRQUabQu_ym0Zz7PgGX0-kHA/edit?usp=sharing"",""แผน!EE75"")"),0)</f>
        <v>0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2</v>
      </c>
      <c r="J314" s="1190">
        <f t="shared" si="142"/>
        <v>2</v>
      </c>
      <c r="K314" s="1191">
        <f ca="1">IF(I314&gt;0,J314*100/I314,0)</f>
        <v>100</v>
      </c>
      <c r="L314" s="1192"/>
      <c r="M314" s="1192"/>
      <c r="N314" s="1192"/>
      <c r="O314" s="1192"/>
      <c r="P314" s="1192"/>
    </row>
    <row r="315" spans="1:26" ht="19.5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3753000</v>
      </c>
      <c r="M315" s="992">
        <f t="shared" ca="1" si="143"/>
        <v>3777400</v>
      </c>
      <c r="N315" s="992">
        <f t="shared" ca="1" si="143"/>
        <v>3698119.08</v>
      </c>
      <c r="O315" s="992">
        <f t="shared" ref="O315:O323" ca="1" si="144">IF(L315&gt;0,N315*100/L315,0)</f>
        <v>98.537678657074338</v>
      </c>
      <c r="P315" s="992">
        <f t="shared" ref="P315:P323" ca="1" si="145">IF(M315&gt;0,N315*100/M315,0)</f>
        <v>97.901177529517653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3753000</v>
      </c>
      <c r="M317" s="887">
        <f t="shared" ca="1" si="146"/>
        <v>3777400</v>
      </c>
      <c r="N317" s="887">
        <f t="shared" ca="1" si="146"/>
        <v>3698119.08</v>
      </c>
      <c r="O317" s="887">
        <f t="shared" ca="1" si="144"/>
        <v>98.537678657074338</v>
      </c>
      <c r="P317" s="887">
        <f t="shared" ca="1" si="145"/>
        <v>97.901177529517653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153000</v>
      </c>
      <c r="M318" s="881">
        <f t="shared" ca="1" si="147"/>
        <v>177400</v>
      </c>
      <c r="N318" s="881">
        <f t="shared" ca="1" si="147"/>
        <v>135779.76</v>
      </c>
      <c r="O318" s="881">
        <f t="shared" ca="1" si="144"/>
        <v>88.74494117647059</v>
      </c>
      <c r="P318" s="881">
        <f t="shared" ca="1" si="145"/>
        <v>76.538759864712517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IFERROR(__xludf.DUMMYFUNCTION("IMPORTRANGE(""https://docs.google.com/spreadsheets/d/1MeEWN-I1oV_STSDYn1IFDPWt_1FKiwhDph83XaGc0o0/edit?usp=sharing"",""งบพรบ!EC75"")"),153000)</f>
        <v>153000</v>
      </c>
      <c r="M320" s="887">
        <f ca="1">IFERROR(__xludf.DUMMYFUNCTION("IMPORTRANGE(""https://docs.google.com/spreadsheets/d/1MeEWN-I1oV_STSDYn1IFDPWt_1FKiwhDph83XaGc0o0/edit?usp=sharing"",""งบพรบ!EH75"")"),177400)</f>
        <v>177400</v>
      </c>
      <c r="N320" s="887">
        <f ca="1">IFERROR(__xludf.DUMMYFUNCTION("IMPORTRANGE(""https://docs.google.com/spreadsheets/d/1MeEWN-I1oV_STSDYn1IFDPWt_1FKiwhDph83XaGc0o0/edit?usp=sharing"",""งบพรบ!EJ75"")"),135779.76)</f>
        <v>135779.76</v>
      </c>
      <c r="O320" s="887">
        <f t="shared" ca="1" si="144"/>
        <v>88.74494117647059</v>
      </c>
      <c r="P320" s="887">
        <f t="shared" ca="1" si="145"/>
        <v>76.538759864712517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3600000</v>
      </c>
      <c r="M321" s="881">
        <f t="shared" ca="1" si="148"/>
        <v>3600000</v>
      </c>
      <c r="N321" s="881">
        <f t="shared" ca="1" si="148"/>
        <v>3562339.32</v>
      </c>
      <c r="O321" s="881">
        <f t="shared" ca="1" si="144"/>
        <v>98.953869999999995</v>
      </c>
      <c r="P321" s="881">
        <f t="shared" ca="1" si="145"/>
        <v>98.953869999999995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IFERROR(__xludf.DUMMYFUNCTION("IMPORTRANGE(""https://docs.google.com/spreadsheets/d/1MeEWN-I1oV_STSDYn1IFDPWt_1FKiwhDph83XaGc0o0/edit?usp=sharing"",""งบพรบ!EF75"")"),3600000)</f>
        <v>3600000</v>
      </c>
      <c r="M323" s="887">
        <f ca="1">IFERROR(__xludf.DUMMYFUNCTION("IMPORTRANGE(""https://docs.google.com/spreadsheets/d/1MeEWN-I1oV_STSDYn1IFDPWt_1FKiwhDph83XaGc0o0/edit?usp=sharing"",""งบพรบ!EI75"")"),3600000)</f>
        <v>3600000</v>
      </c>
      <c r="N323" s="887">
        <f ca="1">IFERROR(__xludf.DUMMYFUNCTION("IMPORTRANGE(""https://docs.google.com/spreadsheets/d/1MeEWN-I1oV_STSDYn1IFDPWt_1FKiwhDph83XaGc0o0/edit?usp=sharing"",""งบพรบ!EK75"")"),3562339.32)</f>
        <v>3562339.32</v>
      </c>
      <c r="O323" s="887">
        <f t="shared" ca="1" si="144"/>
        <v>98.953869999999995</v>
      </c>
      <c r="P323" s="887">
        <f t="shared" ca="1" si="145"/>
        <v>98.953869999999995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IFERROR(__xludf.DUMMYFUNCTION("IMPORTRANGE(""https://docs.google.com/spreadsheets/d/1QqKyyYR6Q21VydFLVH3TRQUabQu_ym0Zz7PgGX0-kHA/edit?usp=sharing"",""แผน!EF75"")"),2)</f>
        <v>2</v>
      </c>
      <c r="J325" s="1012">
        <v>2</v>
      </c>
      <c r="K325" s="881">
        <f ca="1">IF(I325&gt;0,J325*100/I325,0)</f>
        <v>100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IFERROR(__xludf.DUMMYFUNCTION("IMPORTRANGE(""https://docs.google.com/spreadsheets/d/1QqKyyYR6Q21VydFLVH3TRQUabQu_ym0Zz7PgGX0-kHA/edit?usp=sharing"",""แผน!EG75"")"),2000)</f>
        <v>2000</v>
      </c>
      <c r="J327" s="1190">
        <f ca="1">J338+J341+J342+J343</f>
        <v>1521</v>
      </c>
      <c r="K327" s="1191">
        <f ca="1">IF(I327&gt;0,J327*100/I327,0)</f>
        <v>76.05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168000</v>
      </c>
      <c r="M328" s="992">
        <f t="shared" ca="1" si="149"/>
        <v>128500</v>
      </c>
      <c r="N328" s="992">
        <f t="shared" ca="1" si="149"/>
        <v>89855.52</v>
      </c>
      <c r="O328" s="992">
        <f t="shared" ref="O328:O336" ca="1" si="150">IF(L328&gt;0,N328*100/L328,0)</f>
        <v>53.485428571428571</v>
      </c>
      <c r="P328" s="992">
        <f t="shared" ref="P328:P336" ca="1" si="151">IF(M328&gt;0,N328*100/M328,0)</f>
        <v>69.926474708171213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168000</v>
      </c>
      <c r="M330" s="887">
        <f t="shared" ca="1" si="152"/>
        <v>128500</v>
      </c>
      <c r="N330" s="887">
        <f t="shared" ca="1" si="152"/>
        <v>89855.52</v>
      </c>
      <c r="O330" s="887">
        <f t="shared" ca="1" si="150"/>
        <v>53.485428571428571</v>
      </c>
      <c r="P330" s="887">
        <f t="shared" ca="1" si="151"/>
        <v>69.926474708171213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168000</v>
      </c>
      <c r="M331" s="881">
        <f t="shared" ca="1" si="153"/>
        <v>128500</v>
      </c>
      <c r="N331" s="881">
        <f t="shared" ca="1" si="153"/>
        <v>89855.52</v>
      </c>
      <c r="O331" s="881">
        <f t="shared" ca="1" si="150"/>
        <v>53.485428571428571</v>
      </c>
      <c r="P331" s="881">
        <f t="shared" ca="1" si="151"/>
        <v>69.926474708171213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IFERROR(__xludf.DUMMYFUNCTION("IMPORTRANGE(""https://docs.google.com/spreadsheets/d/1MeEWN-I1oV_STSDYn1IFDPWt_1FKiwhDph83XaGc0o0/edit?usp=sharing"",""งบพรบ!EM75"")"),168000)</f>
        <v>168000</v>
      </c>
      <c r="M333" s="887">
        <f ca="1">IFERROR(__xludf.DUMMYFUNCTION("IMPORTRANGE(""https://docs.google.com/spreadsheets/d/1MeEWN-I1oV_STSDYn1IFDPWt_1FKiwhDph83XaGc0o0/edit?usp=sharing"",""งบพรบ!ER75"")"),128500)</f>
        <v>128500</v>
      </c>
      <c r="N333" s="887">
        <f ca="1">IFERROR(__xludf.DUMMYFUNCTION("IMPORTRANGE(""https://docs.google.com/spreadsheets/d/1MeEWN-I1oV_STSDYn1IFDPWt_1FKiwhDph83XaGc0o0/edit?usp=sharing"",""งบพรบ!ET75"")"),89855.52)</f>
        <v>89855.52</v>
      </c>
      <c r="O333" s="887">
        <f t="shared" ca="1" si="150"/>
        <v>53.485428571428571</v>
      </c>
      <c r="P333" s="887">
        <f t="shared" ca="1" si="151"/>
        <v>69.926474708171213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IFERROR(__xludf.DUMMYFUNCTION("IMPORTRANGE(""https://docs.google.com/spreadsheets/d/1MeEWN-I1oV_STSDYn1IFDPWt_1FKiwhDph83XaGc0o0/edit?usp=sharing"",""งบพรบ!EP75"")"),0)</f>
        <v>0</v>
      </c>
      <c r="M336" s="887">
        <f ca="1">IFERROR(__xludf.DUMMYFUNCTION("IMPORTRANGE(""https://docs.google.com/spreadsheets/d/1MeEWN-I1oV_STSDYn1IFDPWt_1FKiwhDph83XaGc0o0/edit?usp=sharing"",""งบพรบ!ES75"")"),0)</f>
        <v>0</v>
      </c>
      <c r="N336" s="887">
        <f ca="1">IFERROR(__xludf.DUMMYFUNCTION("IMPORTRANGE(""https://docs.google.com/spreadsheets/d/1MeEWN-I1oV_STSDYn1IFDPWt_1FKiwhDph83XaGc0o0/edit?usp=sharing"",""งบพรบ!EU75"")"),0)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IFERROR(__xludf.DUMMYFUNCTION("IMPORTRANGE(""https://docs.google.com/spreadsheets/d/1QqKyyYR6Q21VydFLVH3TRQUabQu_ym0Zz7PgGX0-kHA/edit?usp=sharing"",""แผน!EG75"")"),2000)</f>
        <v>2000</v>
      </c>
      <c r="J338" s="880">
        <f ca="1">IFERROR(__xludf.DUMMYFUNCTION("IMPORTRANGE(""https://docs.google.com/spreadsheets/d/1kVcqe37tkHyjCSG3S0O1AXqVkqjo8mSIZil3BcpIysc/edit?usp=sharing"",""ศูนย์!D75"")"),1479)</f>
        <v>1479</v>
      </c>
      <c r="K338" s="881">
        <f ca="1">IF(I338&gt;0,J338*100/I338,0)</f>
        <v>73.95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IFERROR(__xludf.DUMMYFUNCTION("IMPORTRANGE(""https://docs.google.com/spreadsheets/d/1QqKyyYR6Q21VydFLVH3TRQUabQu_ym0Zz7PgGX0-kHA/edit?usp=sharing"",""แผน!EH75"")"),5)</f>
        <v>5</v>
      </c>
      <c r="J340" s="880">
        <f ca="1">IFERROR(__xludf.DUMMYFUNCTION("IMPORTRANGE(""https://docs.google.com/spreadsheets/d/1kVcqe37tkHyjCSG3S0O1AXqVkqjo8mSIZil3BcpIysc/edit?usp=sharing"",""ศูนย์!E75"")"),4)</f>
        <v>4</v>
      </c>
      <c r="K340" s="881">
        <f ca="1">IF(I340&gt;0,J340*100/I340,0)</f>
        <v>80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IFERROR(__xludf.DUMMYFUNCTION("IMPORTRANGE(""https://docs.google.com/spreadsheets/d/1kVcqe37tkHyjCSG3S0O1AXqVkqjo8mSIZil3BcpIysc/edit?usp=sharing"",""ศูนย์!F75"")"),42)</f>
        <v>42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IFERROR(__xludf.DUMMYFUNCTION("IMPORTRANGE(""https://docs.google.com/spreadsheets/d/1kVcqe37tkHyjCSG3S0O1AXqVkqjo8mSIZil3BcpIysc/edit?usp=sharing"",""ศูนย์!G75"")"),0)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IFERROR(__xludf.DUMMYFUNCTION("IMPORTRANGE(""https://docs.google.com/spreadsheets/d/1kVcqe37tkHyjCSG3S0O1AXqVkqjo8mSIZil3BcpIysc/edit?usp=sharing"",""ศูนย์!H75"")"),0)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833700</v>
      </c>
      <c r="M345" s="992">
        <f t="shared" ca="1" si="155"/>
        <v>667840</v>
      </c>
      <c r="N345" s="992">
        <f t="shared" ca="1" si="155"/>
        <v>497733.74</v>
      </c>
      <c r="O345" s="992">
        <f t="shared" ref="O345:O353" ca="1" si="156">IF(L345&gt;0,N345*100/L345,0)</f>
        <v>59.701780016792611</v>
      </c>
      <c r="P345" s="992">
        <f t="shared" ref="P345:P353" ca="1" si="157">IF(M345&gt;0,N345*100/M345,0)</f>
        <v>74.528890153330138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833700</v>
      </c>
      <c r="M347" s="887">
        <f t="shared" ca="1" si="158"/>
        <v>667840</v>
      </c>
      <c r="N347" s="887">
        <f t="shared" ca="1" si="158"/>
        <v>497733.74</v>
      </c>
      <c r="O347" s="887">
        <f t="shared" ca="1" si="156"/>
        <v>59.701780016792611</v>
      </c>
      <c r="P347" s="887">
        <f t="shared" ca="1" si="157"/>
        <v>74.528890153330138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735900</v>
      </c>
      <c r="M348" s="881">
        <f t="shared" ca="1" si="159"/>
        <v>574830</v>
      </c>
      <c r="N348" s="881">
        <f t="shared" ca="1" si="159"/>
        <v>404723.74</v>
      </c>
      <c r="O348" s="881">
        <f t="shared" ca="1" si="156"/>
        <v>54.997111020519093</v>
      </c>
      <c r="P348" s="881">
        <f t="shared" ca="1" si="157"/>
        <v>70.407553537567622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IFERROR(__xludf.DUMMYFUNCTION("IMPORTRANGE(""https://docs.google.com/spreadsheets/d/1MeEWN-I1oV_STSDYn1IFDPWt_1FKiwhDph83XaGc0o0/edit?usp=sharing"",""งบพรบ!EW75"")"),735900)</f>
        <v>735900</v>
      </c>
      <c r="M350" s="887">
        <f ca="1">IFERROR(__xludf.DUMMYFUNCTION("IMPORTRANGE(""https://docs.google.com/spreadsheets/d/1MeEWN-I1oV_STSDYn1IFDPWt_1FKiwhDph83XaGc0o0/edit?usp=sharing"",""งบพรบ!FB75"")"),574830)</f>
        <v>574830</v>
      </c>
      <c r="N350" s="887">
        <f ca="1">IFERROR(__xludf.DUMMYFUNCTION("IMPORTRANGE(""https://docs.google.com/spreadsheets/d/1MeEWN-I1oV_STSDYn1IFDPWt_1FKiwhDph83XaGc0o0/edit?usp=sharing"",""งบพรบ!FD75"")"),404723.74)</f>
        <v>404723.74</v>
      </c>
      <c r="O350" s="887">
        <f t="shared" ca="1" si="156"/>
        <v>54.997111020519093</v>
      </c>
      <c r="P350" s="887">
        <f t="shared" ca="1" si="157"/>
        <v>70.407553537567622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97800</v>
      </c>
      <c r="M351" s="881">
        <f t="shared" ca="1" si="160"/>
        <v>93010</v>
      </c>
      <c r="N351" s="881">
        <f t="shared" ca="1" si="160"/>
        <v>93010</v>
      </c>
      <c r="O351" s="881">
        <f t="shared" ca="1" si="156"/>
        <v>95.102249488752562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IFERROR(__xludf.DUMMYFUNCTION("IMPORTRANGE(""https://docs.google.com/spreadsheets/d/1MeEWN-I1oV_STSDYn1IFDPWt_1FKiwhDph83XaGc0o0/edit?usp=sharing"",""งบพรบ!EZ75"")"),97800)</f>
        <v>97800</v>
      </c>
      <c r="M353" s="887">
        <f ca="1">IFERROR(__xludf.DUMMYFUNCTION("IMPORTRANGE(""https://docs.google.com/spreadsheets/d/1MeEWN-I1oV_STSDYn1IFDPWt_1FKiwhDph83XaGc0o0/edit?usp=sharing"",""งบพรบ!FC75"")"),93010)</f>
        <v>93010</v>
      </c>
      <c r="N353" s="887">
        <f ca="1">IFERROR(__xludf.DUMMYFUNCTION("IMPORTRANGE(""https://docs.google.com/spreadsheets/d/1MeEWN-I1oV_STSDYn1IFDPWt_1FKiwhDph83XaGc0o0/edit?usp=sharing"",""งบพรบ!FE75"")"),93010)</f>
        <v>93010</v>
      </c>
      <c r="O353" s="887">
        <f t="shared" ca="1" si="156"/>
        <v>95.102249488752562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IFERROR(__xludf.DUMMYFUNCTION("IMPORTRANGE(""https://docs.google.com/spreadsheets/d/1QqKyyYR6Q21VydFLVH3TRQUabQu_ym0Zz7PgGX0-kHA/edit?usp=sharing"",""แผน!EP75"")"),210)</f>
        <v>210</v>
      </c>
      <c r="J355" s="1206">
        <f ca="1">J362</f>
        <v>45</v>
      </c>
      <c r="K355" s="1207">
        <f ca="1">IF(I355&gt;0,J355*100/I355,0)</f>
        <v>21.428571428571427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IFERROR(__xludf.DUMMYFUNCTION("IMPORTRANGE(""https://docs.google.com/spreadsheets/d/1XWAQStnk-4SwqDmLtmXYiTMKHgktTP8We1SCoS47DrQ/edit?usp=sharing"",""จัดที่ดิน!W75"")"),221)</f>
        <v>221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IFERROR(__xludf.DUMMYFUNCTION("IMPORTRANGE(""https://docs.google.com/spreadsheets/d/1QqKyyYR6Q21VydFLVH3TRQUabQu_ym0Zz7PgGX0-kHA/edit?usp=sharing"",""แผน!EO75"")"),2100)</f>
        <v>2100</v>
      </c>
      <c r="J359" s="880">
        <f ca="1">IFERROR(__xludf.DUMMYFUNCTION("IMPORTRANGE(""https://docs.google.com/spreadsheets/d/1XWAQStnk-4SwqDmLtmXYiTMKHgktTP8We1SCoS47DrQ/edit?usp=sharing"",""จัดที่ดิน!X75"")"),2429.8)</f>
        <v>2429.8000000000002</v>
      </c>
      <c r="K359" s="881">
        <f t="shared" ca="1" si="161"/>
        <v>115.70476190476192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IFERROR(__xludf.DUMMYFUNCTION("IMPORTRANGE(""https://docs.google.com/spreadsheets/d/1QqKyyYR6Q21VydFLVH3TRQUabQu_ym0Zz7PgGX0-kHA/edit?usp=sharing"",""แผน!EP75"")"),210)</f>
        <v>210</v>
      </c>
      <c r="J360" s="880">
        <f ca="1">IFERROR(__xludf.DUMMYFUNCTION("IMPORTRANGE(""https://docs.google.com/spreadsheets/d/1XWAQStnk-4SwqDmLtmXYiTMKHgktTP8We1SCoS47DrQ/edit?usp=sharing"",""จัดที่ดิน!Y75"")"),172)</f>
        <v>172</v>
      </c>
      <c r="K360" s="881">
        <f t="shared" ca="1" si="161"/>
        <v>81.904761904761898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IFERROR(__xludf.DUMMYFUNCTION("IMPORTRANGE(""https://docs.google.com/spreadsheets/d/1XWAQStnk-4SwqDmLtmXYiTMKHgktTP8We1SCoS47DrQ/edit?usp=sharing"",""จัดที่ดิน!Z75"")"),1964.24)</f>
        <v>1964.24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IFERROR(__xludf.DUMMYFUNCTION("IMPORTRANGE(""https://docs.google.com/spreadsheets/d/1QqKyyYR6Q21VydFLVH3TRQUabQu_ym0Zz7PgGX0-kHA/edit?usp=sharing"",""แผน!EP75"")"),210)</f>
        <v>210</v>
      </c>
      <c r="J362" s="880">
        <f ca="1">IFERROR(__xludf.DUMMYFUNCTION("IMPORTRANGE(""https://docs.google.com/spreadsheets/d/1XWAQStnk-4SwqDmLtmXYiTMKHgktTP8We1SCoS47DrQ/edit?usp=sharing"",""จัดที่ดิน!AA75"")"),45)</f>
        <v>45</v>
      </c>
      <c r="K362" s="881">
        <f t="shared" ca="1" si="161"/>
        <v>21.428571428571427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IFERROR(__xludf.DUMMYFUNCTION("IMPORTRANGE(""https://docs.google.com/spreadsheets/d/1XWAQStnk-4SwqDmLtmXYiTMKHgktTP8We1SCoS47DrQ/edit?usp=sharing"",""จัดที่ดิน!AB75"")"),565.93)</f>
        <v>565.92999999999995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270</v>
      </c>
      <c r="J364" s="1219">
        <f t="shared" ca="1" si="162"/>
        <v>255</v>
      </c>
      <c r="K364" s="1220">
        <f t="shared" ca="1" si="161"/>
        <v>94.444444444444443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IFERROR(__xludf.DUMMYFUNCTION("IMPORTRANGE(""https://docs.google.com/spreadsheets/d/1QqKyyYR6Q21VydFLVH3TRQUabQu_ym0Zz7PgGX0-kHA/edit?usp=sharing"",""แผน!EJ75"")"),130)</f>
        <v>130</v>
      </c>
      <c r="J365" s="1227">
        <f ca="1">J372</f>
        <v>45</v>
      </c>
      <c r="K365" s="1228">
        <f t="shared" ca="1" si="161"/>
        <v>34.615384615384613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IFERROR(__xludf.DUMMYFUNCTION("IMPORTRANGE(""https://docs.google.com/spreadsheets/d/1XWAQStnk-4SwqDmLtmXYiTMKHgktTP8We1SCoS47DrQ/edit?usp=sharing"",""จัดที่ดิน!E75"")"),121)</f>
        <v>121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IFERROR(__xludf.DUMMYFUNCTION("IMPORTRANGE(""https://docs.google.com/spreadsheets/d/1QqKyyYR6Q21VydFLVH3TRQUabQu_ym0Zz7PgGX0-kHA/edit?usp=sharing"",""แผน!EI75"")"),1300)</f>
        <v>1300</v>
      </c>
      <c r="J369" s="880">
        <f ca="1">IFERROR(__xludf.DUMMYFUNCTION("IMPORTRANGE(""https://docs.google.com/spreadsheets/d/1XWAQStnk-4SwqDmLtmXYiTMKHgktTP8We1SCoS47DrQ/edit?usp=sharing"",""จัดที่ดิน!F75"")"),1414.02)</f>
        <v>1414.02</v>
      </c>
      <c r="K369" s="881">
        <f t="shared" ca="1" si="163"/>
        <v>108.77076923076923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IFERROR(__xludf.DUMMYFUNCTION("IMPORTRANGE(""https://docs.google.com/spreadsheets/d/1QqKyyYR6Q21VydFLVH3TRQUabQu_ym0Zz7PgGX0-kHA/edit?usp=sharing"",""แผน!EJ75"")"),130)</f>
        <v>130</v>
      </c>
      <c r="J370" s="880">
        <f ca="1">IFERROR(__xludf.DUMMYFUNCTION("IMPORTRANGE(""https://docs.google.com/spreadsheets/d/1XWAQStnk-4SwqDmLtmXYiTMKHgktTP8We1SCoS47DrQ/edit?usp=sharing"",""จัดที่ดิน!G75"")"),72)</f>
        <v>72</v>
      </c>
      <c r="K370" s="881">
        <f t="shared" ca="1" si="163"/>
        <v>55.384615384615387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IFERROR(__xludf.DUMMYFUNCTION("IMPORTRANGE(""https://docs.google.com/spreadsheets/d/1XWAQStnk-4SwqDmLtmXYiTMKHgktTP8We1SCoS47DrQ/edit?usp=sharing"",""จัดที่ดิน!H75"")"),948.46)</f>
        <v>948.46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IFERROR(__xludf.DUMMYFUNCTION("IMPORTRANGE(""https://docs.google.com/spreadsheets/d/1QqKyyYR6Q21VydFLVH3TRQUabQu_ym0Zz7PgGX0-kHA/edit?usp=sharing"",""แผน!EJ75"")"),130)</f>
        <v>130</v>
      </c>
      <c r="J372" s="880">
        <f ca="1">IFERROR(__xludf.DUMMYFUNCTION("IMPORTRANGE(""https://docs.google.com/spreadsheets/d/1XWAQStnk-4SwqDmLtmXYiTMKHgktTP8We1SCoS47DrQ/edit?usp=sharing"",""จัดที่ดิน!I75"")"),45)</f>
        <v>45</v>
      </c>
      <c r="K372" s="881">
        <f t="shared" ca="1" si="163"/>
        <v>34.615384615384613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IFERROR(__xludf.DUMMYFUNCTION("IMPORTRANGE(""https://docs.google.com/spreadsheets/d/1XWAQStnk-4SwqDmLtmXYiTMKHgktTP8We1SCoS47DrQ/edit?usp=sharing"",""จัดที่ดิน!J75"")"),565.93)</f>
        <v>565.92999999999995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IFERROR(__xludf.DUMMYFUNCTION("IMPORTRANGE(""https://docs.google.com/spreadsheets/d/1QqKyyYR6Q21VydFLVH3TRQUabQu_ym0Zz7PgGX0-kHA/edit?usp=sharing"",""แผน!EU75"")"),140)</f>
        <v>140</v>
      </c>
      <c r="J374" s="1227">
        <f ca="1">J381</f>
        <v>210</v>
      </c>
      <c r="K374" s="1228">
        <f t="shared" ca="1" si="163"/>
        <v>150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IFERROR(__xludf.DUMMYFUNCTION("IMPORTRANGE(""https://docs.google.com/spreadsheets/d/1XWAQStnk-4SwqDmLtmXYiTMKHgktTP8We1SCoS47DrQ/edit?usp=sharing"",""จัดที่ดิน!AH75"")"),100)</f>
        <v>100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IFERROR(__xludf.DUMMYFUNCTION("IMPORTRANGE(""https://docs.google.com/spreadsheets/d/1QqKyyYR6Q21VydFLVH3TRQUabQu_ym0Zz7PgGX0-kHA/edit?usp=sharing"",""แผน!ET75"")"),800)</f>
        <v>800</v>
      </c>
      <c r="J378" s="880">
        <f ca="1">IFERROR(__xludf.DUMMYFUNCTION("IMPORTRANGE(""https://docs.google.com/spreadsheets/d/1XWAQStnk-4SwqDmLtmXYiTMKHgktTP8We1SCoS47DrQ/edit?usp=sharing"",""จัดที่ดิน!AI75"")"),1015.78)</f>
        <v>1015.78</v>
      </c>
      <c r="K378" s="881">
        <f t="shared" ca="1" si="164"/>
        <v>126.9725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IFERROR(__xludf.DUMMYFUNCTION("IMPORTRANGE(""https://docs.google.com/spreadsheets/d/1QqKyyYR6Q21VydFLVH3TRQUabQu_ym0Zz7PgGX0-kHA/edit?usp=sharing"",""แผน!EU75"")"),140)</f>
        <v>140</v>
      </c>
      <c r="J379" s="880">
        <f ca="1">IFERROR(__xludf.DUMMYFUNCTION("IMPORTRANGE(""https://docs.google.com/spreadsheets/d/1XWAQStnk-4SwqDmLtmXYiTMKHgktTP8We1SCoS47DrQ/edit?usp=sharing"",""จัดที่ดิน!AJ75"")"),312)</f>
        <v>312</v>
      </c>
      <c r="K379" s="881">
        <f t="shared" ca="1" si="164"/>
        <v>222.85714285714286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IFERROR(__xludf.DUMMYFUNCTION("IMPORTRANGE(""https://docs.google.com/spreadsheets/d/1XWAQStnk-4SwqDmLtmXYiTMKHgktTP8We1SCoS47DrQ/edit?usp=sharing"",""จัดที่ดิน!AK75"")"),4296.86)</f>
        <v>4296.8599999999997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IFERROR(__xludf.DUMMYFUNCTION("IMPORTRANGE(""https://docs.google.com/spreadsheets/d/1QqKyyYR6Q21VydFLVH3TRQUabQu_ym0Zz7PgGX0-kHA/edit?usp=sharing"",""แผน!EU75"")"),140)</f>
        <v>140</v>
      </c>
      <c r="J381" s="880">
        <f ca="1">IFERROR(__xludf.DUMMYFUNCTION("IMPORTRANGE(""https://docs.google.com/spreadsheets/d/1XWAQStnk-4SwqDmLtmXYiTMKHgktTP8We1SCoS47DrQ/edit?usp=sharing"",""จัดที่ดิน!AL75"")"),210)</f>
        <v>210</v>
      </c>
      <c r="K381" s="881">
        <f t="shared" ca="1" si="164"/>
        <v>150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IFERROR(__xludf.DUMMYFUNCTION("IMPORTRANGE(""https://docs.google.com/spreadsheets/d/1XWAQStnk-4SwqDmLtmXYiTMKHgktTP8We1SCoS47DrQ/edit?usp=sharing"",""จัดที่ดิน!AM75"")"),3241.2)</f>
        <v>3241.2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IFERROR(__xludf.DUMMYFUNCTION("IMPORTRANGE(""https://docs.google.com/spreadsheets/d/1QqKyyYR6Q21VydFLVH3TRQUabQu_ym0Zz7PgGX0-kHA/edit?usp=sharing"",""แผน!EW75"")"),20)</f>
        <v>20</v>
      </c>
      <c r="J385" s="1138">
        <f ca="1">IFERROR(__xludf.DUMMYFUNCTION("IMPORTRANGE(""https://docs.google.com/spreadsheets/d/1XWAQStnk-4SwqDmLtmXYiTMKHgktTP8We1SCoS47DrQ/edit?usp=sharing"",""จัดที่ดิน!AP75"")"),2)</f>
        <v>2</v>
      </c>
      <c r="K385" s="1239">
        <f ca="1">IF(I385&gt;0,J385*100/I385,0)</f>
        <v>10</v>
      </c>
      <c r="L385" s="1139"/>
      <c r="M385" s="1139"/>
      <c r="N385" s="1139"/>
      <c r="O385" s="1139"/>
      <c r="P385" s="1139"/>
    </row>
    <row r="386" spans="1:26" ht="19.5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26000000</v>
      </c>
      <c r="M389" s="992">
        <f t="shared" ca="1" si="166"/>
        <v>26000000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24" hidden="1" customHeight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26000000</v>
      </c>
      <c r="M391" s="887">
        <f t="shared" ca="1" si="169"/>
        <v>26000000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IFERROR(__xludf.DUMMYFUNCTION("IMPORTRANGE(""https://docs.google.com/spreadsheets/d/1MeEWN-I1oV_STSDYn1IFDPWt_1FKiwhDph83XaGc0o0/edit?usp=sharing"",""งบพรบ!FG75"")"),0)</f>
        <v>0</v>
      </c>
      <c r="M394" s="887">
        <f ca="1">IFERROR(__xludf.DUMMYFUNCTION("IMPORTRANGE(""https://docs.google.com/spreadsheets/d/1MeEWN-I1oV_STSDYn1IFDPWt_1FKiwhDph83XaGc0o0/edit?usp=sharing"",""งบพรบ!FL75"")"),0)</f>
        <v>0</v>
      </c>
      <c r="N394" s="887">
        <f ca="1">IFERROR(__xludf.DUMMYFUNCTION("IMPORTRANGE(""https://docs.google.com/spreadsheets/d/1MeEWN-I1oV_STSDYn1IFDPWt_1FKiwhDph83XaGc0o0/edit?usp=sharing"",""งบพรบ!FN75"")"),0)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26000000</v>
      </c>
      <c r="M395" s="881">
        <f t="shared" ca="1" si="171"/>
        <v>26000000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IFERROR(__xludf.DUMMYFUNCTION("IMPORTRANGE(""https://docs.google.com/spreadsheets/d/1MeEWN-I1oV_STSDYn1IFDPWt_1FKiwhDph83XaGc0o0/edit?usp=sharing"",""งบพรบ!FJ75"")"),26000000)</f>
        <v>26000000</v>
      </c>
      <c r="M397" s="887">
        <f ca="1">IFERROR(__xludf.DUMMYFUNCTION("IMPORTRANGE(""https://docs.google.com/spreadsheets/d/1MeEWN-I1oV_STSDYn1IFDPWt_1FKiwhDph83XaGc0o0/edit?usp=sharing"",""งบพรบ!FM75"")"),26000000)</f>
        <v>26000000</v>
      </c>
      <c r="N397" s="887">
        <f ca="1">IFERROR(__xludf.DUMMYFUNCTION("IMPORTRANGE(""https://docs.google.com/spreadsheets/d/1MeEWN-I1oV_STSDYn1IFDPWt_1FKiwhDph83XaGc0o0/edit?usp=sharing"",""งบพรบ!FO75"")"),0)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15</v>
      </c>
      <c r="J401" s="1258">
        <f t="shared" si="173"/>
        <v>9</v>
      </c>
      <c r="K401" s="1259">
        <f t="shared" si="172"/>
        <v>60</v>
      </c>
      <c r="L401" s="1260"/>
      <c r="M401" s="1260"/>
      <c r="N401" s="1260"/>
      <c r="O401" s="1260"/>
      <c r="P401" s="1260"/>
    </row>
    <row r="402" spans="1:26" ht="19.5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34000000</v>
      </c>
      <c r="M402" s="992">
        <f t="shared" ca="1" si="174"/>
        <v>34000000</v>
      </c>
      <c r="N402" s="992">
        <f t="shared" ca="1" si="174"/>
        <v>16661543</v>
      </c>
      <c r="O402" s="992">
        <f t="shared" ref="O402:O410" ca="1" si="175">IF(L402&gt;0,N402*100/L402,0)</f>
        <v>49.00453823529412</v>
      </c>
      <c r="P402" s="992">
        <f t="shared" ref="P402:P410" ca="1" si="176">IF(M402&gt;0,N402*100/M402,0)</f>
        <v>49.00453823529412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34000000</v>
      </c>
      <c r="M404" s="887">
        <f t="shared" ca="1" si="177"/>
        <v>34000000</v>
      </c>
      <c r="N404" s="887">
        <f t="shared" ca="1" si="177"/>
        <v>16661543</v>
      </c>
      <c r="O404" s="887">
        <f t="shared" ca="1" si="175"/>
        <v>49.00453823529412</v>
      </c>
      <c r="P404" s="887">
        <f t="shared" ca="1" si="176"/>
        <v>49.00453823529412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IFERROR(__xludf.DUMMYFUNCTION("IMPORTRANGE(""https://docs.google.com/spreadsheets/d/1MeEWN-I1oV_STSDYn1IFDPWt_1FKiwhDph83XaGc0o0/edit?usp=sharing"",""งบพรบ!FQ75"")"),0)</f>
        <v>0</v>
      </c>
      <c r="M407" s="887">
        <f ca="1">IFERROR(__xludf.DUMMYFUNCTION("IMPORTRANGE(""https://docs.google.com/spreadsheets/d/1MeEWN-I1oV_STSDYn1IFDPWt_1FKiwhDph83XaGc0o0/edit?usp=sharing"",""งบพรบ!FV75"")"),0)</f>
        <v>0</v>
      </c>
      <c r="N407" s="887">
        <f ca="1">IFERROR(__xludf.DUMMYFUNCTION("IMPORTRANGE(""https://docs.google.com/spreadsheets/d/1MeEWN-I1oV_STSDYn1IFDPWt_1FKiwhDph83XaGc0o0/edit?usp=sharing"",""งบพรบ!FX75"")"),0)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34000000</v>
      </c>
      <c r="M408" s="881">
        <f t="shared" ca="1" si="179"/>
        <v>34000000</v>
      </c>
      <c r="N408" s="881">
        <f t="shared" ca="1" si="179"/>
        <v>16661543</v>
      </c>
      <c r="O408" s="881">
        <f t="shared" ca="1" si="175"/>
        <v>49.00453823529412</v>
      </c>
      <c r="P408" s="881">
        <f t="shared" ca="1" si="176"/>
        <v>49.00453823529412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IFERROR(__xludf.DUMMYFUNCTION("IMPORTRANGE(""https://docs.google.com/spreadsheets/d/1MeEWN-I1oV_STSDYn1IFDPWt_1FKiwhDph83XaGc0o0/edit?usp=sharing"",""งบพรบ!FT75"")"),34000000)</f>
        <v>34000000</v>
      </c>
      <c r="M410" s="887">
        <f ca="1">IFERROR(__xludf.DUMMYFUNCTION("IMPORTRANGE(""https://docs.google.com/spreadsheets/d/1MeEWN-I1oV_STSDYn1IFDPWt_1FKiwhDph83XaGc0o0/edit?usp=sharing"",""งบพรบ!FW75"")"),34000000)</f>
        <v>34000000</v>
      </c>
      <c r="N410" s="887">
        <f ca="1">IFERROR(__xludf.DUMMYFUNCTION("IMPORTRANGE(""https://docs.google.com/spreadsheets/d/1MeEWN-I1oV_STSDYn1IFDPWt_1FKiwhDph83XaGc0o0/edit?usp=sharing"",""งบพรบ!FY75"")"),16661543)</f>
        <v>16661543</v>
      </c>
      <c r="O410" s="887">
        <f t="shared" ca="1" si="175"/>
        <v>49.00453823529412</v>
      </c>
      <c r="P410" s="887">
        <f t="shared" ca="1" si="176"/>
        <v>49.00453823529412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15</v>
      </c>
      <c r="J412" s="1012">
        <v>9</v>
      </c>
      <c r="K412" s="881">
        <f t="shared" ref="K412:K413" si="180">IF(I412&gt;0,J412*100/I412,0)</f>
        <v>60</v>
      </c>
      <c r="L412" s="998"/>
      <c r="M412" s="998"/>
      <c r="N412" s="998"/>
      <c r="O412" s="998"/>
      <c r="P412" s="998"/>
    </row>
    <row r="413" spans="1:26" ht="19.5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795800</v>
      </c>
      <c r="J413" s="1272">
        <v>265221</v>
      </c>
      <c r="K413" s="1273">
        <f t="shared" si="180"/>
        <v>33.32759487308369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1733577</v>
      </c>
      <c r="M414" s="1281">
        <f t="shared" ca="1" si="181"/>
        <v>1733577</v>
      </c>
      <c r="N414" s="1281">
        <f t="shared" si="181"/>
        <v>512855.34</v>
      </c>
      <c r="O414" s="1281">
        <f ca="1">IF(L414&gt;0,N414*100/L414,0)</f>
        <v>29.583649298531302</v>
      </c>
      <c r="P414" s="1281">
        <f ca="1">IF(M414&gt;0,N414*100/M414,0)</f>
        <v>29.583649298531302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15</v>
      </c>
      <c r="J417" s="1294">
        <f t="shared" ca="1" si="182"/>
        <v>15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66560</v>
      </c>
      <c r="M419" s="992">
        <f t="shared" ca="1" si="184"/>
        <v>66560</v>
      </c>
      <c r="N419" s="992">
        <f t="shared" si="184"/>
        <v>65518</v>
      </c>
      <c r="O419" s="992">
        <f t="shared" ref="O419:O424" ca="1" si="185">IF(L419&gt;0,N419*100/L419,0)</f>
        <v>98.434495192307693</v>
      </c>
      <c r="P419" s="992">
        <f t="shared" ref="P419:P424" ca="1" si="186">IF(M419&gt;0,N419*100/M419,0)</f>
        <v>98.434495192307693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66560</v>
      </c>
      <c r="M421" s="887">
        <f t="shared" ca="1" si="187"/>
        <v>66560</v>
      </c>
      <c r="N421" s="887">
        <f t="shared" si="187"/>
        <v>65518</v>
      </c>
      <c r="O421" s="887">
        <f t="shared" ca="1" si="185"/>
        <v>98.434495192307693</v>
      </c>
      <c r="P421" s="887">
        <f t="shared" ca="1" si="186"/>
        <v>98.434495192307693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66560</v>
      </c>
      <c r="M422" s="881">
        <f t="shared" ca="1" si="188"/>
        <v>66560</v>
      </c>
      <c r="N422" s="881">
        <f t="shared" si="188"/>
        <v>65518</v>
      </c>
      <c r="O422" s="881">
        <f t="shared" ca="1" si="185"/>
        <v>98.434495192307693</v>
      </c>
      <c r="P422" s="881">
        <f t="shared" ca="1" si="186"/>
        <v>98.434495192307693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IFERROR(__xludf.DUMMYFUNCTION("IMPORTRANGE(""https://docs.google.com/spreadsheets/d/1QqKyyYR6Q21VydFLVH3TRQUabQu_ym0Zz7PgGX0-kHA/edit?usp=sharing"",""แผน!EY75"")"),66560)</f>
        <v>66560</v>
      </c>
      <c r="M424" s="887">
        <f ca="1">L424</f>
        <v>66560</v>
      </c>
      <c r="N424" s="887">
        <f>N425+N426+N427+N428</f>
        <v>65518</v>
      </c>
      <c r="O424" s="887">
        <f t="shared" ca="1" si="185"/>
        <v>98.434495192307693</v>
      </c>
      <c r="P424" s="887">
        <f t="shared" ca="1" si="186"/>
        <v>98.434495192307693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42295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23223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IFERROR(__xludf.DUMMYFUNCTION("IMPORTRANGE(""https://docs.google.com/spreadsheets/d/1QqKyyYR6Q21VydFLVH3TRQUabQu_ym0Zz7PgGX0-kHA/edit?usp=sharing"",""แผน!FB75"")"),0)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15</v>
      </c>
      <c r="J433" s="1019">
        <f ca="1">IF(AND(J435=I435,J437=I437,J439=I439),I437+I439,IF(AND(J435=I437,J437=I437),I437,IF(AND(J435=I439,J439=I439),I439,0)))</f>
        <v>15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IFERROR(__xludf.DUMMYFUNCTION("IMPORTRANGE(""https://docs.google.com/spreadsheets/d/1QqKyyYR6Q21VydFLVH3TRQUabQu_ym0Zz7PgGX0-kHA/edit?usp=sharing"",""แผน!FC75"")"),15)</f>
        <v>15</v>
      </c>
      <c r="J435" s="583">
        <v>15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IFERROR(__xludf.DUMMYFUNCTION("IMPORTRANGE(""https://docs.google.com/spreadsheets/d/1QqKyyYR6Q21VydFLVH3TRQUabQu_ym0Zz7PgGX0-kHA/edit?usp=sharing"",""แผน!FD75"")"),0)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IFERROR(__xludf.DUMMYFUNCTION("IMPORTRANGE(""https://docs.google.com/spreadsheets/d/1QqKyyYR6Q21VydFLVH3TRQUabQu_ym0Zz7PgGX0-kHA/edit?usp=sharing"",""แผน!FE75"")"),0)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IFERROR(__xludf.DUMMYFUNCTION("IMPORTRANGE(""https://docs.google.com/spreadsheets/d/1QqKyyYR6Q21VydFLVH3TRQUabQu_ym0Zz7PgGX0-kHA/edit?usp=sharing"",""แผน!FF75"")"),15)</f>
        <v>15</v>
      </c>
      <c r="J439" s="583">
        <v>15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IFERROR(__xludf.DUMMYFUNCTION("IMPORTRANGE(""https://docs.google.com/spreadsheets/d/1QqKyyYR6Q21VydFLVH3TRQUabQu_ym0Zz7PgGX0-kHA/edit?usp=sharing"",""แผน!FG75"")"),1)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IFERROR(__xludf.DUMMYFUNCTION("IMPORTRANGE(""https://docs.google.com/spreadsheets/d/1QqKyyYR6Q21VydFLVH3TRQUabQu_ym0Zz7PgGX0-kHA/edit?usp=sharing"",""แผน!FH75"")"),0)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 hidden="1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0</v>
      </c>
      <c r="J442" s="1310">
        <f t="shared" si="195"/>
        <v>0</v>
      </c>
      <c r="K442" s="1311">
        <f t="shared" ca="1" si="194"/>
        <v>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 hidden="1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0</v>
      </c>
      <c r="J443" s="1294">
        <f t="shared" si="196"/>
        <v>0</v>
      </c>
      <c r="K443" s="1295">
        <f t="shared" ca="1" si="194"/>
        <v>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 hidden="1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0</v>
      </c>
      <c r="M444" s="1020">
        <f t="shared" si="197"/>
        <v>0</v>
      </c>
      <c r="N444" s="1020">
        <f t="shared" si="197"/>
        <v>0</v>
      </c>
      <c r="O444" s="1020">
        <f t="shared" ref="O444:O449" ca="1" si="198">IF(L444&gt;0,N444*100/L444,0)</f>
        <v>0</v>
      </c>
      <c r="P444" s="1020">
        <f t="shared" ref="P444:P449" si="199">IF(M444&gt;0,N444*100/M444,0)</f>
        <v>0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0</v>
      </c>
      <c r="M446" s="887">
        <f t="shared" si="200"/>
        <v>0</v>
      </c>
      <c r="N446" s="887">
        <f t="shared" si="200"/>
        <v>0</v>
      </c>
      <c r="O446" s="887">
        <f t="shared" ca="1" si="198"/>
        <v>0</v>
      </c>
      <c r="P446" s="887">
        <f t="shared" si="199"/>
        <v>0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 hidden="1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0</v>
      </c>
      <c r="M447" s="881">
        <f t="shared" si="201"/>
        <v>0</v>
      </c>
      <c r="N447" s="881">
        <f t="shared" si="201"/>
        <v>0</v>
      </c>
      <c r="O447" s="881">
        <f t="shared" ca="1" si="198"/>
        <v>0</v>
      </c>
      <c r="P447" s="881">
        <f t="shared" si="199"/>
        <v>0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IFERROR(__xludf.DUMMYFUNCTION("IMPORTRANGE(""https://docs.google.com/spreadsheets/d/1QqKyyYR6Q21VydFLVH3TRQUabQu_ym0Zz7PgGX0-kHA/edit?usp=sharing"",""แผน!FJ75"")"),0)</f>
        <v>0</v>
      </c>
      <c r="M449" s="887">
        <v>0</v>
      </c>
      <c r="N449" s="887">
        <f>N450+N451+N452+N453</f>
        <v>0</v>
      </c>
      <c r="O449" s="887">
        <f t="shared" ca="1" si="198"/>
        <v>0</v>
      </c>
      <c r="P449" s="887">
        <f t="shared" si="199"/>
        <v>0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 hidden="1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 hidden="1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 hidden="1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 hidden="1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 hidden="1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IFERROR(__xludf.DUMMYFUNCTION("IMPORTRANGE(""https://docs.google.com/spreadsheets/d/1QqKyyYR6Q21VydFLVH3TRQUabQu_ym0Zz7PgGX0-kHA/edit?usp=sharing"",""แผน!FM75"")"),0)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 hidden="1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 hidden="1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IFERROR(__xludf.DUMMYFUNCTION("IMPORTRANGE(""https://docs.google.com/spreadsheets/d/1QqKyyYR6Q21VydFLVH3TRQUabQu_ym0Zz7PgGX0-kHA/edit?usp=sharing"",""แผน!FN75"")"),0)</f>
        <v>0</v>
      </c>
      <c r="J460" s="1012">
        <v>0</v>
      </c>
      <c r="K460" s="881">
        <f ca="1">IF(I460&gt;0,J460*100/I460,0)</f>
        <v>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 hidden="1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 hidden="1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IFERROR(__xludf.DUMMYFUNCTION("IMPORTRANGE(""https://docs.google.com/spreadsheets/d/1QqKyyYR6Q21VydFLVH3TRQUabQu_ym0Zz7PgGX0-kHA/edit?usp=sharing"",""แผน!FO75"")"),0)</f>
        <v>0</v>
      </c>
      <c r="J462" s="1012">
        <v>0</v>
      </c>
      <c r="K462" s="881">
        <f ca="1">IF(I462&gt;0,J462*100/I462,0)</f>
        <v>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 hidden="1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IFERROR(__xludf.DUMMYFUNCTION("IMPORTRANGE(""https://docs.google.com/spreadsheets/d/1QqKyyYR6Q21VydFLVH3TRQUabQu_ym0Zz7PgGX0-kHA/edit?usp=sharing"",""แผน!FO75"")"),0)</f>
        <v>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 hidden="1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IFERROR(__xludf.DUMMYFUNCTION("IMPORTRANGE(""https://docs.google.com/spreadsheets/d/1QqKyyYR6Q21VydFLVH3TRQUabQu_ym0Zz7PgGX0-kHA/edit?usp=sharing"",""แผน!FN75"")"),0)</f>
        <v>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IFERROR(__xludf.DUMMYFUNCTION("IMPORTRANGE(""https://docs.google.com/spreadsheets/d/1QqKyyYR6Q21VydFLVH3TRQUabQu_ym0Zz7PgGX0-kHA/edit?usp=sharing"",""แผน!FX75"")"),31)</f>
        <v>31</v>
      </c>
      <c r="J465" s="1310">
        <f>J485+J489+J492</f>
        <v>31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IFERROR(__xludf.DUMMYFUNCTION("IMPORTRANGE(""https://docs.google.com/spreadsheets/d/1QqKyyYR6Q21VydFLVH3TRQUabQu_ym0Zz7PgGX0-kHA/edit?usp=sharing"",""แผน!FW75"")"),300)</f>
        <v>300</v>
      </c>
      <c r="J466" s="1294">
        <f>J495+J498</f>
        <v>0</v>
      </c>
      <c r="K466" s="1295">
        <f t="shared" ca="1" si="205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263283</v>
      </c>
      <c r="M467" s="1020">
        <f t="shared" ca="1" si="206"/>
        <v>263283</v>
      </c>
      <c r="N467" s="1020">
        <f t="shared" si="206"/>
        <v>57997</v>
      </c>
      <c r="O467" s="1020">
        <f t="shared" ref="O467:O472" ca="1" si="207">IF(L467&gt;0,N467*100/L467,0)</f>
        <v>22.028387704485286</v>
      </c>
      <c r="P467" s="1020">
        <f t="shared" ref="P467:P472" ca="1" si="208">IF(M467&gt;0,N467*100/M467,0)</f>
        <v>22.028387704485286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263283</v>
      </c>
      <c r="M469" s="887">
        <f t="shared" ca="1" si="209"/>
        <v>263283</v>
      </c>
      <c r="N469" s="887">
        <f t="shared" si="209"/>
        <v>57997</v>
      </c>
      <c r="O469" s="887">
        <f t="shared" ca="1" si="207"/>
        <v>22.028387704485286</v>
      </c>
      <c r="P469" s="887">
        <f t="shared" ca="1" si="208"/>
        <v>22.028387704485286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263283</v>
      </c>
      <c r="M470" s="881">
        <f t="shared" ca="1" si="210"/>
        <v>263283</v>
      </c>
      <c r="N470" s="881">
        <f t="shared" si="210"/>
        <v>57997</v>
      </c>
      <c r="O470" s="881">
        <f t="shared" ca="1" si="207"/>
        <v>22.028387704485286</v>
      </c>
      <c r="P470" s="881">
        <f t="shared" ca="1" si="208"/>
        <v>22.028387704485286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IFERROR(__xludf.DUMMYFUNCTION("IMPORTRANGE(""https://docs.google.com/spreadsheets/d/1QqKyyYR6Q21VydFLVH3TRQUabQu_ym0Zz7PgGX0-kHA/edit?usp=sharing"",""แผน!FS75"")"),263283)</f>
        <v>263283</v>
      </c>
      <c r="M472" s="887">
        <f ca="1">L472</f>
        <v>263283</v>
      </c>
      <c r="N472" s="887">
        <f>N473+N474+N475+N476</f>
        <v>57997</v>
      </c>
      <c r="O472" s="887">
        <f t="shared" ca="1" si="207"/>
        <v>22.028387704485286</v>
      </c>
      <c r="P472" s="887">
        <f t="shared" ca="1" si="208"/>
        <v>22.028387704485286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37652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v>20345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IFERROR(__xludf.DUMMYFUNCTION("IMPORTRANGE(""https://docs.google.com/spreadsheets/d/1QqKyyYR6Q21VydFLVH3TRQUabQu_ym0Zz7PgGX0-kHA/edit?usp=sharing"",""แผน!FV75"")"),0)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IFERROR(__xludf.DUMMYFUNCTION("IMPORTRANGE(""https://docs.google.com/spreadsheets/d/1QqKyyYR6Q21VydFLVH3TRQUabQu_ym0Zz7PgGX0-kHA/edit?usp=sharing"",""แผน!FY75"")"),270)</f>
        <v>270</v>
      </c>
      <c r="J483" s="1012">
        <v>270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34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IFERROR(__xludf.DUMMYFUNCTION("IMPORTRANGE(""https://docs.google.com/spreadsheets/d/1QqKyyYR6Q21VydFLVH3TRQUabQu_ym0Zz7PgGX0-kHA/edit?usp=sharing"",""แผน!FZ75"")"),27)</f>
        <v>27</v>
      </c>
      <c r="J485" s="1012">
        <v>27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IFERROR(__xludf.DUMMYFUNCTION("IMPORTRANGE(""https://docs.google.com/spreadsheets/d/1QqKyyYR6Q21VydFLVH3TRQUabQu_ym0Zz7PgGX0-kHA/edit?usp=sharing"",""แผน!GA75"")"),30)</f>
        <v>30</v>
      </c>
      <c r="J487" s="1012">
        <v>30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3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IFERROR(__xludf.DUMMYFUNCTION("IMPORTRANGE(""https://docs.google.com/spreadsheets/d/1QqKyyYR6Q21VydFLVH3TRQUabQu_ym0Zz7PgGX0-kHA/edit?usp=sharing"",""แผน!GB75"")"),3)</f>
        <v>3</v>
      </c>
      <c r="J489" s="1012">
        <v>3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IFERROR(__xludf.DUMMYFUNCTION("IMPORTRANGE(""https://docs.google.com/spreadsheets/d/1QqKyyYR6Q21VydFLVH3TRQUabQu_ym0Zz7PgGX0-kHA/edit?usp=sharing"",""แผน!GC75"")"),1)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IFERROR(__xludf.DUMMYFUNCTION("IMPORTRANGE(""https://docs.google.com/spreadsheets/d/1QqKyyYR6Q21VydFLVH3TRQUabQu_ym0Zz7PgGX0-kHA/edit?usp=sharing"",""แผน!FY75"")"),270)</f>
        <v>270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IFERROR(__xludf.DUMMYFUNCTION("IMPORTRANGE(""https://docs.google.com/spreadsheets/d/1QqKyyYR6Q21VydFLVH3TRQUabQu_ym0Zz7PgGX0-kHA/edit?usp=sharing"",""แผน!GA75"")"),30)</f>
        <v>30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80</v>
      </c>
      <c r="J522" s="1377">
        <f t="shared" ca="1" si="225"/>
        <v>80</v>
      </c>
      <c r="K522" s="1378">
        <f ca="1">IF(I522&gt;0,J522*100/I522,0)</f>
        <v>100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667960</v>
      </c>
      <c r="M523" s="1020">
        <f t="shared" ca="1" si="226"/>
        <v>667960</v>
      </c>
      <c r="N523" s="1020">
        <f t="shared" si="226"/>
        <v>130420</v>
      </c>
      <c r="O523" s="1020">
        <f t="shared" ref="O523:O528" ca="1" si="227">IF(L523&gt;0,N523*100/L523,0)</f>
        <v>19.525121264746392</v>
      </c>
      <c r="P523" s="1020">
        <f t="shared" ref="P523:P528" ca="1" si="228">IF(M523&gt;0,N523*100/M523,0)</f>
        <v>19.525121264746392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667960</v>
      </c>
      <c r="M525" s="887">
        <f t="shared" ca="1" si="229"/>
        <v>667960</v>
      </c>
      <c r="N525" s="887">
        <f t="shared" si="229"/>
        <v>130420</v>
      </c>
      <c r="O525" s="887">
        <f t="shared" ca="1" si="227"/>
        <v>19.525121264746392</v>
      </c>
      <c r="P525" s="887">
        <f t="shared" ca="1" si="228"/>
        <v>19.525121264746392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667960</v>
      </c>
      <c r="M526" s="881">
        <f t="shared" ca="1" si="230"/>
        <v>667960</v>
      </c>
      <c r="N526" s="881">
        <f t="shared" si="230"/>
        <v>130420</v>
      </c>
      <c r="O526" s="881">
        <f t="shared" ca="1" si="227"/>
        <v>19.525121264746392</v>
      </c>
      <c r="P526" s="881">
        <f t="shared" ca="1" si="228"/>
        <v>19.525121264746392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IFERROR(__xludf.DUMMYFUNCTION("IMPORTRANGE(""https://docs.google.com/spreadsheets/d/1QqKyyYR6Q21VydFLVH3TRQUabQu_ym0Zz7PgGX0-kHA/edit?usp=sharing"",""แผน!GQ75"")"),667960)</f>
        <v>667960</v>
      </c>
      <c r="M528" s="887">
        <f ca="1">L528</f>
        <v>667960</v>
      </c>
      <c r="N528" s="887">
        <f>N529+N530+N531+N532</f>
        <v>130420</v>
      </c>
      <c r="O528" s="887">
        <f t="shared" ca="1" si="227"/>
        <v>19.525121264746392</v>
      </c>
      <c r="P528" s="887">
        <f t="shared" ca="1" si="228"/>
        <v>19.525121264746392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102060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28360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IFERROR(__xludf.DUMMYFUNCTION("IMPORTRANGE(""https://docs.google.com/spreadsheets/d/1QqKyyYR6Q21VydFLVH3TRQUabQu_ym0Zz7PgGX0-kHA/edit?usp=sharing"",""แผน!GT75"")"),0)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IFERROR(__xludf.DUMMYFUNCTION("IMPORTRANGE(""https://docs.google.com/spreadsheets/d/1QqKyyYR6Q21VydFLVH3TRQUabQu_ym0Zz7PgGX0-kHA/edit?usp=sharing"",""แผน!GU75"")"),80)</f>
        <v>80</v>
      </c>
      <c r="J537" s="1019">
        <f ca="1">IF(AND(J538=I538,J539=I539,J540=I540,J541=I541),I537,0)</f>
        <v>80</v>
      </c>
      <c r="K537" s="881">
        <f t="shared" ref="K537:K543" ca="1" si="234">IF(I537&gt;0,J537*100/I537,0)</f>
        <v>100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IFERROR(__xludf.DUMMYFUNCTION("IMPORTRANGE(""https://docs.google.com/spreadsheets/d/1QqKyyYR6Q21VydFLVH3TRQUabQu_ym0Zz7PgGX0-kHA/edit?usp=sharing"",""แผน!GV75"")"),80)</f>
        <v>80</v>
      </c>
      <c r="J538" s="1012">
        <v>80</v>
      </c>
      <c r="K538" s="881">
        <f t="shared" ca="1" si="234"/>
        <v>100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IFERROR(__xludf.DUMMYFUNCTION("IMPORTRANGE(""https://docs.google.com/spreadsheets/d/1QqKyyYR6Q21VydFLVH3TRQUabQu_ym0Zz7PgGX0-kHA/edit?usp=sharing"",""แผน!GW75"")"),80)</f>
        <v>80</v>
      </c>
      <c r="J539" s="1012">
        <v>80</v>
      </c>
      <c r="K539" s="881">
        <f t="shared" ca="1" si="234"/>
        <v>100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IFERROR(__xludf.DUMMYFUNCTION("IMPORTRANGE(""https://docs.google.com/spreadsheets/d/1QqKyyYR6Q21VydFLVH3TRQUabQu_ym0Zz7PgGX0-kHA/edit?usp=sharing"",""แผน!GX75"")"),80)</f>
        <v>80</v>
      </c>
      <c r="J540" s="1012">
        <v>80</v>
      </c>
      <c r="K540" s="881">
        <f t="shared" ca="1" si="234"/>
        <v>100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IFERROR(__xludf.DUMMYFUNCTION("IMPORTRANGE(""https://docs.google.com/spreadsheets/d/1QqKyyYR6Q21VydFLVH3TRQUabQu_ym0Zz7PgGX0-kHA/edit?usp=sharing"",""แผน!GY75"")"),0)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IFERROR(__xludf.DUMMYFUNCTION("IMPORTRANGE(""https://docs.google.com/spreadsheets/d/1QqKyyYR6Q21VydFLVH3TRQUabQu_ym0Zz7PgGX0-kHA/edit?usp=sharing"",""แผน!GZ75"")"),80)</f>
        <v>80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60297</v>
      </c>
      <c r="J543" s="1384">
        <f t="shared" si="235"/>
        <v>54686</v>
      </c>
      <c r="K543" s="1385">
        <f t="shared" ca="1" si="234"/>
        <v>90.694396072773102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482874</v>
      </c>
      <c r="M544" s="992">
        <f t="shared" ca="1" si="236"/>
        <v>482874</v>
      </c>
      <c r="N544" s="992">
        <f t="shared" si="236"/>
        <v>258920.34000000003</v>
      </c>
      <c r="O544" s="992">
        <f t="shared" ref="O544:O549" ca="1" si="237">IF(L544&gt;0,N544*100/L544,0)</f>
        <v>53.620683656606076</v>
      </c>
      <c r="P544" s="992">
        <f t="shared" ref="P544:P549" ca="1" si="238">IF(M544&gt;0,N544*100/M544,0)</f>
        <v>53.620683656606076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482874</v>
      </c>
      <c r="M546" s="887">
        <f t="shared" ca="1" si="240"/>
        <v>482874</v>
      </c>
      <c r="N546" s="887">
        <f t="shared" si="240"/>
        <v>258920.34000000003</v>
      </c>
      <c r="O546" s="887">
        <f t="shared" ca="1" si="237"/>
        <v>53.620683656606076</v>
      </c>
      <c r="P546" s="887">
        <f t="shared" ca="1" si="238"/>
        <v>53.620683656606076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482874</v>
      </c>
      <c r="M547" s="881">
        <f t="shared" ca="1" si="241"/>
        <v>482874</v>
      </c>
      <c r="N547" s="881">
        <f t="shared" si="241"/>
        <v>258920.34000000003</v>
      </c>
      <c r="O547" s="881">
        <f t="shared" ca="1" si="237"/>
        <v>53.620683656606076</v>
      </c>
      <c r="P547" s="881">
        <f t="shared" ca="1" si="238"/>
        <v>53.620683656606076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IFERROR(__xludf.DUMMYFUNCTION("IMPORTRANGE(""https://docs.google.com/spreadsheets/d/1QqKyyYR6Q21VydFLVH3TRQUabQu_ym0Zz7PgGX0-kHA/edit?usp=sharing"",""แผน!HB75"")"),482874)</f>
        <v>482874</v>
      </c>
      <c r="M549" s="887">
        <f ca="1">L549</f>
        <v>482874</v>
      </c>
      <c r="N549" s="887">
        <f>N550+N551+N552+N553+N554</f>
        <v>258920.34000000003</v>
      </c>
      <c r="O549" s="887">
        <f t="shared" ca="1" si="237"/>
        <v>53.620683656606076</v>
      </c>
      <c r="P549" s="887">
        <f t="shared" ca="1" si="238"/>
        <v>53.620683656606076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51566.67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v>207353.67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IFERROR(__xludf.DUMMYFUNCTION("IMPORTRANGE(""https://docs.google.com/spreadsheets/d/1QqKyyYR6Q21VydFLVH3TRQUabQu_ym0Zz7PgGX0-kHA/edit?usp=sharing"",""แผน!HF75"")"),0)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60297</v>
      </c>
      <c r="J559" s="1377">
        <f t="shared" si="245"/>
        <v>54686</v>
      </c>
      <c r="K559" s="1378">
        <f t="shared" ref="K559:K561" ca="1" si="246">IF(I559&gt;0,J559*100/I559,0)</f>
        <v>90.694396072773102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IFERROR(__xludf.DUMMYFUNCTION("IMPORTRANGE(""https://docs.google.com/spreadsheets/d/1QqKyyYR6Q21VydFLVH3TRQUabQu_ym0Zz7PgGX0-kHA/edit?usp=sharing"",""แผน!HH75"")"),60297)</f>
        <v>60297</v>
      </c>
      <c r="J560" s="1018">
        <f t="shared" ref="J560:J561" si="247">J562+J564+J566</f>
        <v>60294.057000000001</v>
      </c>
      <c r="K560" s="1162">
        <f t="shared" ca="1" si="246"/>
        <v>99.99511916015723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IFERROR(__xludf.DUMMYFUNCTION("IMPORTRANGE(""https://docs.google.com/spreadsheets/d/1QqKyyYR6Q21VydFLVH3TRQUabQu_ym0Zz7PgGX0-kHA/edit?usp=sharing"",""แผน!HG75"")"),5074)</f>
        <v>5074</v>
      </c>
      <c r="J561" s="1018">
        <f t="shared" si="247"/>
        <v>5074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54374.938999999998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4674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4746.7479999999996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304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1172.3699999999999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96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IFERROR(__xludf.DUMMYFUNCTION("IMPORTRANGE(""https://docs.google.com/spreadsheets/d/1QqKyyYR6Q21VydFLVH3TRQUabQu_ym0Zz7PgGX0-kHA/edit?usp=sharing"",""แผน!HH75"")"),60297)</f>
        <v>60297</v>
      </c>
      <c r="J568" s="1019">
        <f t="shared" ref="J568:J569" si="248">J570+J572+J574</f>
        <v>60298</v>
      </c>
      <c r="K568" s="1162">
        <f t="shared" ref="K568:K569" ca="1" si="249">IF(I568&gt;0,J568*100/I568,0)</f>
        <v>100.00165845730302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IFERROR(__xludf.DUMMYFUNCTION("IMPORTRANGE(""https://docs.google.com/spreadsheets/d/1QqKyyYR6Q21VydFLVH3TRQUabQu_ym0Zz7PgGX0-kHA/edit?usp=sharing"",""แผน!HG75"")"),5074)</f>
        <v>5074</v>
      </c>
      <c r="J569" s="1019">
        <f t="shared" si="248"/>
        <v>5074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54686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4700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4461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277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1151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97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IFERROR(__xludf.DUMMYFUNCTION("IMPORTRANGE(""https://docs.google.com/spreadsheets/d/1QqKyyYR6Q21VydFLVH3TRQUabQu_ym0Zz7PgGX0-kHA/edit?usp=sharing"",""แผน!HH75"")"),60297)</f>
        <v>60297</v>
      </c>
      <c r="J576" s="1019">
        <f t="shared" ref="J576:J577" si="250">J578+J580+J582+J588+J590</f>
        <v>54686</v>
      </c>
      <c r="K576" s="1162">
        <f t="shared" ref="K576:K577" ca="1" si="251">IF(I576&gt;0,J576*100/I576,0)</f>
        <v>90.694396072773102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IFERROR(__xludf.DUMMYFUNCTION("IMPORTRANGE(""https://docs.google.com/spreadsheets/d/1QqKyyYR6Q21VydFLVH3TRQUabQu_ym0Zz7PgGX0-kHA/edit?usp=sharing"",""แผน!HG75"")"),5074)</f>
        <v>5074</v>
      </c>
      <c r="J577" s="1019">
        <f t="shared" si="250"/>
        <v>4700</v>
      </c>
      <c r="K577" s="1162">
        <f t="shared" ca="1" si="251"/>
        <v>92.629089475758775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54686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4700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0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0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0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0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3453.6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IFERROR(__xludf.DUMMYFUNCTION("IMPORTRANGE(""https://docs.google.com/spreadsheets/d/1QqKyyYR6Q21VydFLVH3TRQUabQu_ym0Zz7PgGX0-kHA/edit?usp=sharing"",""แผน!HJ75"")"),3453.6)</f>
        <v>3453.6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IFERROR(__xludf.DUMMYFUNCTION("IMPORTRANGE(""https://docs.google.com/spreadsheets/d/1QqKyyYR6Q21VydFLVH3TRQUabQu_ym0Zz7PgGX0-kHA/edit?usp=sharing"",""แผน!HI75"")"),210)</f>
        <v>210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IFERROR(__xludf.DUMMYFUNCTION("IMPORTRANGE(""https://docs.google.com/spreadsheets/d/1QqKyyYR6Q21VydFLVH3TRQUabQu_ym0Zz7PgGX0-kHA/edit?usp=sharing"",""แผน!HL75"")"),61)</f>
        <v>61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IFERROR(__xludf.DUMMYFUNCTION("IMPORTRANGE(""https://docs.google.com/spreadsheets/d/1QqKyyYR6Q21VydFLVH3TRQUabQu_ym0Zz7PgGX0-kHA/edit?usp=sharing"",""แผน!HK75"")"),9)</f>
        <v>9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50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252900</v>
      </c>
      <c r="M629" s="1020">
        <f t="shared" ca="1" si="263"/>
        <v>252900</v>
      </c>
      <c r="N629" s="1020">
        <f t="shared" si="263"/>
        <v>0</v>
      </c>
      <c r="O629" s="1020">
        <f t="shared" ref="O629:O634" ca="1" si="264">IF(L629&gt;0,N629*100/L629,0)</f>
        <v>0</v>
      </c>
      <c r="P629" s="1020">
        <f t="shared" ref="P629:P634" ca="1" si="265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252900</v>
      </c>
      <c r="M631" s="887">
        <f t="shared" ca="1" si="266"/>
        <v>252900</v>
      </c>
      <c r="N631" s="887">
        <f t="shared" si="266"/>
        <v>0</v>
      </c>
      <c r="O631" s="887">
        <f t="shared" ca="1" si="264"/>
        <v>0</v>
      </c>
      <c r="P631" s="887">
        <f t="shared" ca="1" si="265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252900</v>
      </c>
      <c r="M632" s="881">
        <f t="shared" ca="1" si="267"/>
        <v>252900</v>
      </c>
      <c r="N632" s="881">
        <f t="shared" si="267"/>
        <v>0</v>
      </c>
      <c r="O632" s="881">
        <f t="shared" ca="1" si="264"/>
        <v>0</v>
      </c>
      <c r="P632" s="881">
        <f t="shared" ca="1" si="265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IFERROR(__xludf.DUMMYFUNCTION("IMPORTRANGE(""https://docs.google.com/spreadsheets/d/1QqKyyYR6Q21VydFLVH3TRQUabQu_ym0Zz7PgGX0-kHA/edit?usp=sharing"",""แผน!HN75"")"),252900)</f>
        <v>252900</v>
      </c>
      <c r="M634" s="887">
        <f ca="1">L634</f>
        <v>252900</v>
      </c>
      <c r="N634" s="887">
        <f>N635+N636+N637+N638</f>
        <v>0</v>
      </c>
      <c r="O634" s="887">
        <f t="shared" ca="1" si="264"/>
        <v>0</v>
      </c>
      <c r="P634" s="887">
        <f t="shared" ca="1" si="265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IFERROR(__xludf.DUMMYFUNCTION("IMPORTRANGE(""https://docs.google.com/spreadsheets/d/1QqKyyYR6Q21VydFLVH3TRQUabQu_ym0Zz7PgGX0-kHA/edit?usp=sharing"",""แผน!HQ75"")"),0)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IFERROR(__xludf.DUMMYFUNCTION("IMPORTRANGE(""https://docs.google.com/spreadsheets/d/1QqKyyYR6Q21VydFLVH3TRQUabQu_ym0Zz7PgGX0-kHA/edit?usp=sharing"",""แผน!HR75"")"),2)</f>
        <v>2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IFERROR(__xludf.DUMMYFUNCTION("IMPORTRANGE(""https://docs.google.com/spreadsheets/d/1QqKyyYR6Q21VydFLVH3TRQUabQu_ym0Zz7PgGX0-kHA/edit?usp=sharing"",""แผน!HR75"")"),2)</f>
        <v>2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IFERROR(__xludf.DUMMYFUNCTION("IMPORTRANGE(""https://docs.google.com/spreadsheets/d/1XWAQStnk-4SwqDmLtmXYiTMKHgktTP8We1SCoS47DrQ/edit?usp=sharing"",""จัดที่ดิน!AS75"")"),0)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IFERROR(__xludf.DUMMYFUNCTION("IMPORTRANGE(""https://docs.google.com/spreadsheets/d/1XWAQStnk-4SwqDmLtmXYiTMKHgktTP8We1SCoS47DrQ/edit?usp=sharing"",""จัดที่ดิน!AT75"")"),0)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IFERROR(__xludf.DUMMYFUNCTION("IMPORTRANGE(""https://docs.google.com/spreadsheets/d/1QqKyyYR6Q21VydFLVH3TRQUabQu_ym0Zz7PgGX0-kHA/edit?usp=sharing"",""แผน!HS75"")"),50)</f>
        <v>50</v>
      </c>
      <c r="J647" s="880">
        <f ca="1">IFERROR(__xludf.DUMMYFUNCTION("IMPORTRANGE(""https://docs.google.com/spreadsheets/d/1XWAQStnk-4SwqDmLtmXYiTMKHgktTP8We1SCoS47DrQ/edit?usp=sharing"",""จัดที่ดิน!AU75"")"),0)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IFERROR(__xludf.DUMMYFUNCTION("IMPORTRANGE(""https://docs.google.com/spreadsheets/d/1XWAQStnk-4SwqDmLtmXYiTMKHgktTP8We1SCoS47DrQ/edit?usp=sharing"",""จัดที่ดิน!AV75"")"),0)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IFERROR(__xludf.DUMMYFUNCTION("IMPORTRANGE(""https://docs.google.com/spreadsheets/d/1QqKyyYR6Q21VydFLVH3TRQUabQu_ym0Zz7PgGX0-kHA/edit?usp=sharing"",""แผน!HS75"")"),50)</f>
        <v>50</v>
      </c>
      <c r="J649" s="880">
        <f ca="1">IFERROR(__xludf.DUMMYFUNCTION("IMPORTRANGE(""https://docs.google.com/spreadsheets/d/1XWAQStnk-4SwqDmLtmXYiTMKHgktTP8We1SCoS47DrQ/edit?usp=sharing"",""จัดที่ดิน!AW75"")"),0)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IFERROR(__xludf.DUMMYFUNCTION("IMPORTRANGE(""https://docs.google.com/spreadsheets/d/1XWAQStnk-4SwqDmLtmXYiTMKHgktTP8We1SCoS47DrQ/edit?usp=sharing"",""จัดที่ดิน!AX75"")"),0)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IFERROR(__xludf.DUMMYFUNCTION("IMPORTRANGE(""https://docs.google.com/spreadsheets/d/1QqKyyYR6Q21VydFLVH3TRQUabQu_ym0Zz7PgGX0-kHA/edit?usp=sharing"",""แผน!HS75"")"),50)</f>
        <v>50</v>
      </c>
      <c r="J651" s="880">
        <f ca="1">IFERROR(__xludf.DUMMYFUNCTION("IMPORTRANGE(""https://docs.google.com/spreadsheets/d/1XWAQStnk-4SwqDmLtmXYiTMKHgktTP8We1SCoS47DrQ/edit?usp=sharing"",""จัดที่ดิน!AY75"")"),0)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IFERROR(__xludf.DUMMYFUNCTION("IMPORTRANGE(""https://docs.google.com/spreadsheets/d/1XWAQStnk-4SwqDmLtmXYiTMKHgktTP8We1SCoS47DrQ/edit?usp=sharing"",""จัดที่ดิน!AZ75"")"),0)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 hidden="1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0</v>
      </c>
      <c r="M655" s="1020">
        <f t="shared" si="273"/>
        <v>0</v>
      </c>
      <c r="N655" s="1020">
        <f t="shared" si="273"/>
        <v>0</v>
      </c>
      <c r="O655" s="1020">
        <f t="shared" ref="O655:O660" ca="1" si="274">IF(L655&gt;0,N655*100/L655,0)</f>
        <v>0</v>
      </c>
      <c r="P655" s="1020">
        <f t="shared" ref="P655:P660" si="275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0</v>
      </c>
      <c r="M657" s="887">
        <f t="shared" si="276"/>
        <v>0</v>
      </c>
      <c r="N657" s="887">
        <f t="shared" si="276"/>
        <v>0</v>
      </c>
      <c r="O657" s="887">
        <f t="shared" ca="1" si="274"/>
        <v>0</v>
      </c>
      <c r="P657" s="887">
        <f t="shared" si="275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0</v>
      </c>
      <c r="M658" s="881">
        <f t="shared" si="277"/>
        <v>0</v>
      </c>
      <c r="N658" s="881">
        <f t="shared" si="277"/>
        <v>0</v>
      </c>
      <c r="O658" s="881">
        <f t="shared" ca="1" si="274"/>
        <v>0</v>
      </c>
      <c r="P658" s="881">
        <f t="shared" si="275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IFERROR(__xludf.DUMMYFUNCTION("IMPORTRANGE(""https://docs.google.com/spreadsheets/d/1QqKyyYR6Q21VydFLVH3TRQUabQu_ym0Zz7PgGX0-kHA/edit?usp=sharing"",""แผน!HV75"")"),0)</f>
        <v>0</v>
      </c>
      <c r="M660" s="887">
        <v>0</v>
      </c>
      <c r="N660" s="887">
        <f>N661+N662+N663+N664</f>
        <v>0</v>
      </c>
      <c r="O660" s="887">
        <f t="shared" ca="1" si="274"/>
        <v>0</v>
      </c>
      <c r="P660" s="887">
        <f t="shared" si="275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IFERROR(__xludf.DUMMYFUNCTION("IMPORTRANGE(""https://docs.google.com/spreadsheets/d/1QqKyyYR6Q21VydFLVH3TRQUabQu_ym0Zz7PgGX0-kHA/edit?usp=sharing"",""แผน!IA75"")"),0)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IFERROR(__xludf.DUMMYFUNCTION("IMPORTRANGE(""https://docs.google.com/spreadsheets/d/1QqKyyYR6Q21VydFLVH3TRQUabQu_ym0Zz7PgGX0-kHA/edit?usp=sharing"",""แผน!HZ75"")"),0)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IFERROR(__xludf.DUMMYFUNCTION("IMPORTRANGE(""https://docs.google.com/spreadsheets/d/1QqKyyYR6Q21VydFLVH3TRQUabQu_ym0Zz7PgGX0-kHA/edit?usp=sharing"",""แผน!HZ75"")"),0)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IFERROR(__xludf.DUMMYFUNCTION("IMPORTRANGE(""https://docs.google.com/spreadsheets/d/1QqKyyYR6Q21VydFLVH3TRQUabQu_ym0Zz7PgGX0-kHA/edit?usp=sharing"",""แผน!IB75"")"),0)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IFERROR(__xludf.DUMMYFUNCTION("IMPORTRANGE(""https://docs.google.com/spreadsheets/d/1QqKyyYR6Q21VydFLVH3TRQUabQu_ym0Zz7PgGX0-kHA/edit?usp=sharing"",""แผน!HW75"")"),0)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IFERROR(__xludf.DUMMYFUNCTION("IMPORTRANGE(""https://docs.google.com/spreadsheets/d/1QqKyyYR6Q21VydFLVH3TRQUabQu_ym0Zz7PgGX0-kHA/edit?usp=sharing"",""แผน!IC75"")"),0)</f>
        <v>0</v>
      </c>
      <c r="J699" s="880">
        <f ca="1">IFERROR(__xludf.DUMMYFUNCTION("IMPORTRANGE(""https://docs.google.com/spreadsheets/d/1XWAQStnk-4SwqDmLtmXYiTMKHgktTP8We1SCoS47DrQ/edit?usp=sharing"",""จัดที่ดิน!BB75"")"),0)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IFERROR(__xludf.DUMMYFUNCTION("IMPORTRANGE(""https://docs.google.com/spreadsheets/d/1QqKyyYR6Q21VydFLVH3TRQUabQu_ym0Zz7PgGX0-kHA/edit?usp=sharing"",""แผน!ID75"")"),0)</f>
        <v>0</v>
      </c>
      <c r="J700" s="880">
        <f ca="1">IFERROR(__xludf.DUMMYFUNCTION("IMPORTRANGE(""https://docs.google.com/spreadsheets/d/1XWAQStnk-4SwqDmLtmXYiTMKHgktTP8We1SCoS47DrQ/edit?usp=sharing"",""จัดที่ดิน!BD75"")"),0)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IFERROR(__xludf.DUMMYFUNCTION("IMPORTRANGE(""https://docs.google.com/spreadsheets/d/1QqKyyYR6Q21VydFLVH3TRQUabQu_ym0Zz7PgGX0-kHA/edit?usp=sharing"",""แผน!IE75"")"),0)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IFERROR(__xludf.DUMMYFUNCTION("IMPORTRANGE(""https://docs.google.com/spreadsheets/d/1QqKyyYR6Q21VydFLVH3TRQUabQu_ym0Zz7PgGX0-kHA/edit?usp=sharing"",""แผน!IF75"")"),0)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IFERROR(__xludf.DUMMYFUNCTION("IMPORTRANGE(""https://docs.google.com/spreadsheets/d/1QqKyyYR6Q21VydFLVH3TRQUabQu_ym0Zz7PgGX0-kHA/edit?usp=sharing"",""แผน!IG75"")"),0)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IFERROR(__xludf.DUMMYFUNCTION("IMPORTRANGE(""https://docs.google.com/spreadsheets/d/1QqKyyYR6Q21VydFLVH3TRQUabQu_ym0Zz7PgGX0-kHA/edit?usp=sharing"",""แผน!IH75"")"),0)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IFERROR(__xludf.DUMMYFUNCTION("IMPORTRANGE(""https://docs.google.com/spreadsheets/d/1XWAQStnk-4SwqDmLtmXYiTMKHgktTP8We1SCoS47DrQ/edit?usp=sharing"",""จัดที่ดิน!BF75"")"),0)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IFERROR(__xludf.DUMMYFUNCTION("IMPORTRANGE(""https://docs.google.com/spreadsheets/d/1XWAQStnk-4SwqDmLtmXYiTMKHgktTP8We1SCoS47DrQ/edit?usp=sharing"",""จัดที่ดิน!BG75"")"),0)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IFERROR(__xludf.DUMMYFUNCTION("IMPORTRANGE(""https://docs.google.com/spreadsheets/d/1QqKyyYR6Q21VydFLVH3TRQUabQu_ym0Zz7PgGX0-kHA/edit?usp=sharing"",""แผน!II75"")"),0)</f>
        <v>0</v>
      </c>
      <c r="J720" s="880">
        <f ca="1">IFERROR(__xludf.DUMMYFUNCTION("IMPORTRANGE(""https://docs.google.com/spreadsheets/d/1XWAQStnk-4SwqDmLtmXYiTMKHgktTP8We1SCoS47DrQ/edit?usp=sharing"",""จัดที่ดิน!BH75"")"),0)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IFERROR(__xludf.DUMMYFUNCTION("IMPORTRANGE(""https://docs.google.com/spreadsheets/d/1QqKyyYR6Q21VydFLVH3TRQUabQu_ym0Zz7PgGX0-kHA/edit?usp=sharing"",""แผน!IJ75"")"),0)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IFERROR(__xludf.DUMMYFUNCTION("IMPORTRANGE(""https://docs.google.com/spreadsheets/d/1QqKyyYR6Q21VydFLVH3TRQUabQu_ym0Zz7PgGX0-kHA/edit?usp=sharing"",""แผน!IK75"")"),0)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IFERROR(__xludf.DUMMYFUNCTION("IMPORTRANGE(""https://docs.google.com/spreadsheets/d/1QqKyyYR6Q21VydFLVH3TRQUabQu_ym0Zz7PgGX0-kHA/edit?usp=sharing"",""แผน!IL75"")"),0)</f>
        <v>0</v>
      </c>
      <c r="J723" s="880">
        <f ca="1">IFERROR(__xludf.DUMMYFUNCTION("IMPORTRANGE(""https://docs.google.com/spreadsheets/d/1XWAQStnk-4SwqDmLtmXYiTMKHgktTP8We1SCoS47DrQ/edit?usp=sharing"",""จัดที่ดิน!BM75"")"),0)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IFERROR(__xludf.DUMMYFUNCTION("IMPORTRANGE(""https://docs.google.com/spreadsheets/d/1XWAQStnk-4SwqDmLtmXYiTMKHgktTP8We1SCoS47DrQ/edit?usp=sharing"",""จัดที่ดิน!BN75"")"),0)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IFERROR(__xludf.DUMMYFUNCTION("IMPORTRANGE(""https://docs.google.com/spreadsheets/d/1QqKyyYR6Q21VydFLVH3TRQUabQu_ym0Zz7PgGX0-kHA/edit?usp=sharing"",""แผน!IM75"")"),0)</f>
        <v>0</v>
      </c>
      <c r="J725" s="880">
        <f ca="1">IFERROR(__xludf.DUMMYFUNCTION("IMPORTRANGE(""https://docs.google.com/spreadsheets/d/1XWAQStnk-4SwqDmLtmXYiTMKHgktTP8We1SCoS47DrQ/edit?usp=sharing"",""จัดที่ดิน!BO75"")"),0)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IFERROR(__xludf.DUMMYFUNCTION("IMPORTRANGE(""https://docs.google.com/spreadsheets/d/1QqKyyYR6Q21VydFLVH3TRQUabQu_ym0Zz7PgGX0-kHA/edit?usp=sharing"",""แผน!IN75"")"),0)</f>
        <v>0</v>
      </c>
      <c r="J726" s="880">
        <f ca="1">IFERROR(__xludf.DUMMYFUNCTION("IMPORTRANGE(""https://docs.google.com/spreadsheets/d/1XWAQStnk-4SwqDmLtmXYiTMKHgktTP8We1SCoS47DrQ/edit?usp=sharing"",""จัดที่ดิน!BR75"")"),0)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IFERROR(__xludf.DUMMYFUNCTION("IMPORTRANGE(""https://docs.google.com/spreadsheets/d/1XWAQStnk-4SwqDmLtmXYiTMKHgktTP8We1SCoS47DrQ/edit?usp=sharing"",""จัดที่ดิน!BS75"")"),0)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IFERROR(__xludf.DUMMYFUNCTION("IMPORTRANGE(""https://docs.google.com/spreadsheets/d/1QqKyyYR6Q21VydFLVH3TRQUabQu_ym0Zz7PgGX0-kHA/edit?usp=sharing"",""แผน!IO75"")"),0)</f>
        <v>0</v>
      </c>
      <c r="J728" s="880">
        <f ca="1">IFERROR(__xludf.DUMMYFUNCTION("IMPORTRANGE(""https://docs.google.com/spreadsheets/d/1XWAQStnk-4SwqDmLtmXYiTMKHgktTP8We1SCoS47DrQ/edit?usp=sharing"",""จัดที่ดิน!BT75"")"),0)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IFERROR(__xludf.DUMMYFUNCTION("IMPORTRANGE(""https://docs.google.com/spreadsheets/d/1QqKyyYR6Q21VydFLVH3TRQUabQu_ym0Zz7PgGX0-kHA/edit?usp=sharing"",""แผน!IP75"")"),0)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IFERROR(__xludf.DUMMYFUNCTION("IMPORTRANGE(""https://docs.google.com/spreadsheets/d/1QqKyyYR6Q21VydFLVH3TRQUabQu_ym0Zz7PgGX0-kHA/edit?usp=sharing"",""แผน!JJ75"")"),0)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IFERROR(__xludf.DUMMYFUNCTION("IMPORTRANGE(""https://docs.google.com/spreadsheets/d/1QqKyyYR6Q21VydFLVH3TRQUabQu_ym0Zz7PgGX0-kHA/edit?usp=sharing"",""แผน!JN75"")"),0)</f>
        <v>0</v>
      </c>
      <c r="J800" s="997">
        <f ca="1">IFERROR(__xludf.DUMMYFUNCTION("IMPORTRANGE(""https://docs.google.com/spreadsheets/d/1MaWodYyGHDf7siQLGxnXhG4mBNTNIuy296niS2xXulU/edit?usp=sharing"",""RTK!H75"")"),0)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IFERROR(__xludf.DUMMYFUNCTION("IMPORTRANGE(""https://docs.google.com/spreadsheets/d/1MaWodYyGHDf7siQLGxnXhG4mBNTNIuy296niS2xXulU/edit?usp=sharing"",""RTK!I75"")"),0)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>
        <v>0</v>
      </c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>
        <v>0</v>
      </c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334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880">
        <f ca="1">IFERROR(__xludf.DUMMYFUNCTION("IMPORTRANGE(""https://docs.google.com/spreadsheets/d/19vJNZY_5yjcGF2XGBMNZRCAIB0Kwfpjp8YEOfu-bneM/edit?usp=sharing"",""งานกองทุน!F75"")"),195088.21)</f>
        <v>195088.21</v>
      </c>
      <c r="K821" s="881">
        <f t="shared" ref="K821:K828" ca="1" si="335">IF(I821&gt;0,J821*100/I821,0)</f>
        <v>124.02160051569659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IFERROR(__xludf.DUMMYFUNCTION("IMPORTRANGE(""https://docs.google.com/spreadsheets/d/19vJNZY_5yjcGF2XGBMNZRCAIB0Kwfpjp8YEOfu-bneM/edit?usp=sharing"",""งานกองทุน!C75"")"),18)</f>
        <v>18</v>
      </c>
      <c r="J822" s="880">
        <f ca="1">IFERROR(__xludf.DUMMYFUNCTION("IMPORTRANGE(""https://docs.google.com/spreadsheets/d/19vJNZY_5yjcGF2XGBMNZRCAIB0Kwfpjp8YEOfu-bneM/edit?usp=sharing"",""งานกองทุน!E75"")"),21)</f>
        <v>21</v>
      </c>
      <c r="K822" s="881">
        <f t="shared" ca="1" si="335"/>
        <v>116.66666666666667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880">
        <f ca="1">IFERROR(__xludf.DUMMYFUNCTION("IMPORTRANGE(""https://docs.google.com/spreadsheets/d/19vJNZY_5yjcGF2XGBMNZRCAIB0Kwfpjp8YEOfu-bneM/edit?usp=sharing"",""งานกองทุน!K75"")"),528154.41)</f>
        <v>528154.41</v>
      </c>
      <c r="K823" s="881">
        <f t="shared" ca="1" si="335"/>
        <v>69.324462868859769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IFERROR(__xludf.DUMMYFUNCTION("IMPORTRANGE(""https://docs.google.com/spreadsheets/d/19vJNZY_5yjcGF2XGBMNZRCAIB0Kwfpjp8YEOfu-bneM/edit?usp=sharing"",""งานกองทุน!H75"")"),26)</f>
        <v>26</v>
      </c>
      <c r="J824" s="880">
        <f ca="1">IFERROR(__xludf.DUMMYFUNCTION("IMPORTRANGE(""https://docs.google.com/spreadsheets/d/19vJNZY_5yjcGF2XGBMNZRCAIB0Kwfpjp8YEOfu-bneM/edit?usp=sharing"",""งานกองทุน!J75"")"),104)</f>
        <v>104</v>
      </c>
      <c r="K824" s="881">
        <f t="shared" ca="1" si="335"/>
        <v>400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IFERROR(__xludf.DUMMYFUNCTION("IMPORTRANGE(""https://docs.google.com/spreadsheets/d/19vJNZY_5yjcGF2XGBMNZRCAIB0Kwfpjp8YEOfu-bneM/edit?usp=sharing"",""งานกองทุน!N75"")"),0)</f>
        <v>0</v>
      </c>
      <c r="J825" s="880">
        <f ca="1">IFERROR(__xludf.DUMMYFUNCTION("IMPORTRANGE(""https://docs.google.com/spreadsheets/d/19vJNZY_5yjcGF2XGBMNZRCAIB0Kwfpjp8YEOfu-bneM/edit?usp=sharing"",""งานกองทุน!P75"")"),15990.43)</f>
        <v>15990.43</v>
      </c>
      <c r="K825" s="881">
        <f t="shared" ca="1" si="335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IFERROR(__xludf.DUMMYFUNCTION("IMPORTRANGE(""https://docs.google.com/spreadsheets/d/19vJNZY_5yjcGF2XGBMNZRCAIB0Kwfpjp8YEOfu-bneM/edit?usp=sharing"",""งานกองทุน!M75"")"),0)</f>
        <v>0</v>
      </c>
      <c r="J826" s="880">
        <f ca="1">IFERROR(__xludf.DUMMYFUNCTION("IMPORTRANGE(""https://docs.google.com/spreadsheets/d/19vJNZY_5yjcGF2XGBMNZRCAIB0Kwfpjp8YEOfu-bneM/edit?usp=sharing"",""งานกองทุน!O75"")"),10)</f>
        <v>10</v>
      </c>
      <c r="K826" s="881">
        <f t="shared" ca="1" si="335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IFERROR(__xludf.DUMMYFUNCTION("IMPORTRANGE(""https://docs.google.com/spreadsheets/d/19vJNZY_5yjcGF2XGBMNZRCAIB0Kwfpjp8YEOfu-bneM/edit?usp=sharing"",""งานกองทุน!S75"")"),280000)</f>
        <v>280000</v>
      </c>
      <c r="J827" s="880">
        <f ca="1">IFERROR(__xludf.DUMMYFUNCTION("IMPORTRANGE(""https://docs.google.com/spreadsheets/d/19vJNZY_5yjcGF2XGBMNZRCAIB0Kwfpjp8YEOfu-bneM/edit?usp=sharing"",""งานกองทุน!U75"")"),0)</f>
        <v>0</v>
      </c>
      <c r="K827" s="881">
        <f t="shared" ca="1" si="335"/>
        <v>0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IFERROR(__xludf.DUMMYFUNCTION("IMPORTRANGE(""https://docs.google.com/spreadsheets/d/19vJNZY_5yjcGF2XGBMNZRCAIB0Kwfpjp8YEOfu-bneM/edit?usp=sharing"",""งานกองทุน!R75"")"),11)</f>
        <v>11</v>
      </c>
      <c r="J828" s="1138">
        <f ca="1">IFERROR(__xludf.DUMMYFUNCTION("IMPORTRANGE(""https://docs.google.com/spreadsheets/d/19vJNZY_5yjcGF2XGBMNZRCAIB0Kwfpjp8YEOfu-bneM/edit?usp=sharing"",""งานกองทุน!T75"")"),0)</f>
        <v>0</v>
      </c>
      <c r="K828" s="1239">
        <f t="shared" ca="1" si="335"/>
        <v>0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EA0DA-6C1C-4EDB-AE42-BEAFE5A4F899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9" width="16.140625" style="852" bestFit="1" customWidth="1"/>
    <col min="10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335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5726081</v>
      </c>
      <c r="M8" s="867">
        <f t="shared" ca="1" si="0"/>
        <v>5560809</v>
      </c>
      <c r="N8" s="867">
        <f t="shared" ca="1" si="0"/>
        <v>3544409.4</v>
      </c>
      <c r="O8" s="867">
        <f t="shared" ref="O8:O16" ca="1" si="1">IF(L8&gt;0,N8*100/L8,0)</f>
        <v>61.899393319794115</v>
      </c>
      <c r="P8" s="867">
        <f t="shared" ref="P8:P16" ca="1" si="2">IF(M8&gt;0,N8*100/M8,0)</f>
        <v>63.739096235817485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5726081</v>
      </c>
      <c r="M10" s="874">
        <f t="shared" ca="1" si="3"/>
        <v>5560809</v>
      </c>
      <c r="N10" s="874">
        <f t="shared" ca="1" si="3"/>
        <v>3544409.4</v>
      </c>
      <c r="O10" s="874">
        <f t="shared" ca="1" si="1"/>
        <v>61.899393319794115</v>
      </c>
      <c r="P10" s="874">
        <f t="shared" ca="1" si="2"/>
        <v>63.739096235817485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5381281</v>
      </c>
      <c r="M11" s="881">
        <f t="shared" ca="1" si="4"/>
        <v>5216009</v>
      </c>
      <c r="N11" s="881">
        <f t="shared" ca="1" si="4"/>
        <v>3199609.4</v>
      </c>
      <c r="O11" s="881">
        <f t="shared" ca="1" si="1"/>
        <v>59.458136454870129</v>
      </c>
      <c r="P11" s="881">
        <f t="shared" ca="1" si="2"/>
        <v>61.342098911255711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5381281</v>
      </c>
      <c r="M13" s="887">
        <f t="shared" ca="1" si="5"/>
        <v>5216009</v>
      </c>
      <c r="N13" s="887">
        <f t="shared" ca="1" si="5"/>
        <v>3199609.4</v>
      </c>
      <c r="O13" s="887">
        <f t="shared" ca="1" si="1"/>
        <v>59.458136454870129</v>
      </c>
      <c r="P13" s="887">
        <f t="shared" ca="1" si="2"/>
        <v>61.342098911255711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344800</v>
      </c>
      <c r="M14" s="881">
        <f t="shared" ca="1" si="6"/>
        <v>344800</v>
      </c>
      <c r="N14" s="881">
        <f t="shared" ca="1" si="6"/>
        <v>344800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344800</v>
      </c>
      <c r="M16" s="893">
        <f t="shared" ca="1" si="7"/>
        <v>344800</v>
      </c>
      <c r="N16" s="893">
        <f t="shared" ca="1" si="7"/>
        <v>344800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3606245</v>
      </c>
      <c r="M18" s="867">
        <f t="shared" ca="1" si="8"/>
        <v>3440973</v>
      </c>
      <c r="N18" s="867">
        <f t="shared" ca="1" si="8"/>
        <v>2381256.8899999997</v>
      </c>
      <c r="O18" s="867">
        <f t="shared" ref="O18:O26" ca="1" si="9">IF(L18&gt;0,N18*100/L18,0)</f>
        <v>66.031478449190217</v>
      </c>
      <c r="P18" s="867">
        <f t="shared" ref="P18:P26" ca="1" si="10">IF(M18&gt;0,N18*100/M18,0)</f>
        <v>69.203010020712156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3606245</v>
      </c>
      <c r="M20" s="874">
        <f t="shared" ca="1" si="11"/>
        <v>3440973</v>
      </c>
      <c r="N20" s="874">
        <f t="shared" ca="1" si="11"/>
        <v>2381256.8899999997</v>
      </c>
      <c r="O20" s="874">
        <f t="shared" ca="1" si="9"/>
        <v>66.031478449190217</v>
      </c>
      <c r="P20" s="874">
        <f t="shared" ca="1" si="10"/>
        <v>69.203010020712156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3261445</v>
      </c>
      <c r="M21" s="881">
        <f t="shared" ca="1" si="12"/>
        <v>3096173</v>
      </c>
      <c r="N21" s="881">
        <f t="shared" ca="1" si="12"/>
        <v>2036456.89</v>
      </c>
      <c r="O21" s="881">
        <f t="shared" ca="1" si="9"/>
        <v>62.440325990473546</v>
      </c>
      <c r="P21" s="881">
        <f t="shared" ca="1" si="10"/>
        <v>65.773356010791389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3261445</v>
      </c>
      <c r="M23" s="887">
        <f t="shared" ca="1" si="13"/>
        <v>3096173</v>
      </c>
      <c r="N23" s="887">
        <f t="shared" ca="1" si="13"/>
        <v>2036456.89</v>
      </c>
      <c r="O23" s="887">
        <f t="shared" ca="1" si="9"/>
        <v>62.440325990473546</v>
      </c>
      <c r="P23" s="887">
        <f t="shared" ca="1" si="10"/>
        <v>65.773356010791389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344800</v>
      </c>
      <c r="M24" s="881">
        <f t="shared" ca="1" si="14"/>
        <v>344800</v>
      </c>
      <c r="N24" s="881">
        <f t="shared" ca="1" si="14"/>
        <v>344800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344800</v>
      </c>
      <c r="M26" s="893">
        <f t="shared" ca="1" si="15"/>
        <v>344800</v>
      </c>
      <c r="N26" s="893">
        <f t="shared" ca="1" si="15"/>
        <v>344800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2119836</v>
      </c>
      <c r="M28" s="867">
        <f t="shared" ca="1" si="16"/>
        <v>2119836</v>
      </c>
      <c r="N28" s="867">
        <f t="shared" si="16"/>
        <v>1163152.51</v>
      </c>
      <c r="O28" s="867">
        <f t="shared" ref="O28:O37" ca="1" si="17">IF(L28&gt;0,N28*100/L28,0)</f>
        <v>54.869929088854043</v>
      </c>
      <c r="P28" s="867">
        <f t="shared" ref="P28:P37" ca="1" si="18">IF(M28&gt;0,N28*100/M28,0)</f>
        <v>54.869929088854043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2119836</v>
      </c>
      <c r="M30" s="874">
        <f t="shared" ca="1" si="19"/>
        <v>2119836</v>
      </c>
      <c r="N30" s="874">
        <f t="shared" si="19"/>
        <v>1163152.51</v>
      </c>
      <c r="O30" s="874">
        <f t="shared" ca="1" si="17"/>
        <v>54.869929088854043</v>
      </c>
      <c r="P30" s="874">
        <f t="shared" ca="1" si="18"/>
        <v>54.869929088854043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2119836</v>
      </c>
      <c r="M31" s="881">
        <f t="shared" ca="1" si="20"/>
        <v>2119836</v>
      </c>
      <c r="N31" s="881">
        <f t="shared" si="20"/>
        <v>1163152.51</v>
      </c>
      <c r="O31" s="881">
        <f t="shared" ca="1" si="17"/>
        <v>54.869929088854043</v>
      </c>
      <c r="P31" s="881">
        <f t="shared" ca="1" si="18"/>
        <v>54.869929088854043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2119836</v>
      </c>
      <c r="M33" s="887">
        <f t="shared" ca="1" si="21"/>
        <v>2119836</v>
      </c>
      <c r="N33" s="887">
        <f t="shared" si="21"/>
        <v>1163152.51</v>
      </c>
      <c r="O33" s="887">
        <f t="shared" ca="1" si="17"/>
        <v>54.869929088854043</v>
      </c>
      <c r="P33" s="887">
        <f t="shared" ca="1" si="18"/>
        <v>54.869929088854043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3606245</v>
      </c>
      <c r="M37" s="900">
        <f t="shared" ca="1" si="24"/>
        <v>3440973</v>
      </c>
      <c r="N37" s="900">
        <f t="shared" ca="1" si="24"/>
        <v>2381256.8899999997</v>
      </c>
      <c r="O37" s="900">
        <f t="shared" ca="1" si="17"/>
        <v>66.031478449190217</v>
      </c>
      <c r="P37" s="900">
        <f t="shared" ca="1" si="18"/>
        <v>69.203010020712156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599200</v>
      </c>
      <c r="M41" s="926">
        <f t="shared" ca="1" si="25"/>
        <v>619460</v>
      </c>
      <c r="N41" s="926">
        <f t="shared" ca="1" si="25"/>
        <v>321867.5</v>
      </c>
      <c r="O41" s="926">
        <f t="shared" ref="O41:O49" ca="1" si="26">IF(L41&gt;0,N41*100/L41,0)</f>
        <v>53.716204939919891</v>
      </c>
      <c r="P41" s="926">
        <f t="shared" ref="P41:P49" ca="1" si="27">IF(M41&gt;0,N41*100/M41,0)</f>
        <v>51.959367836502757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599200</v>
      </c>
      <c r="M43" s="932">
        <f t="shared" ca="1" si="28"/>
        <v>619460</v>
      </c>
      <c r="N43" s="932">
        <f t="shared" ca="1" si="28"/>
        <v>321867.5</v>
      </c>
      <c r="O43" s="932">
        <f t="shared" ca="1" si="26"/>
        <v>53.716204939919891</v>
      </c>
      <c r="P43" s="932">
        <f t="shared" ca="1" si="27"/>
        <v>51.959367836502757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599200</v>
      </c>
      <c r="M44" s="881">
        <f t="shared" ca="1" si="29"/>
        <v>619460</v>
      </c>
      <c r="N44" s="881">
        <f t="shared" ca="1" si="29"/>
        <v>321867.5</v>
      </c>
      <c r="O44" s="881">
        <f t="shared" ca="1" si="26"/>
        <v>53.716204939919891</v>
      </c>
      <c r="P44" s="881">
        <f t="shared" ca="1" si="27"/>
        <v>51.959367836502757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IFERROR(__xludf.DUMMYFUNCTION("IMPORTRANGE(""https://docs.google.com/spreadsheets/d/1MeEWN-I1oV_STSDYn1IFDPWt_1FKiwhDph83XaGc0o0/edit?usp=sharing"",""งบพรบ!M76"")"),599200)</f>
        <v>599200</v>
      </c>
      <c r="M46" s="887">
        <f ca="1">IFERROR(__xludf.DUMMYFUNCTION("IMPORTRANGE(""https://docs.google.com/spreadsheets/d/1MeEWN-I1oV_STSDYn1IFDPWt_1FKiwhDph83XaGc0o0/edit?usp=sharing"",""งบพรบ!R76"")"),619460)</f>
        <v>619460</v>
      </c>
      <c r="N46" s="887">
        <f ca="1">IFERROR(__xludf.DUMMYFUNCTION("IMPORTRANGE(""https://docs.google.com/spreadsheets/d/1MeEWN-I1oV_STSDYn1IFDPWt_1FKiwhDph83XaGc0o0/edit?usp=sharing"",""งบพรบ!T76"")"),321867.5)</f>
        <v>321867.5</v>
      </c>
      <c r="O46" s="887">
        <f t="shared" ca="1" si="26"/>
        <v>53.716204939919891</v>
      </c>
      <c r="P46" s="887">
        <f t="shared" ca="1" si="27"/>
        <v>51.959367836502757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IFERROR(__xludf.DUMMYFUNCTION("IMPORTRANGE(""https://docs.google.com/spreadsheets/d/1MeEWN-I1oV_STSDYn1IFDPWt_1FKiwhDph83XaGc0o0/edit?usp=sharing"",""งบพรบ!P76"")"),0)</f>
        <v>0</v>
      </c>
      <c r="M49" s="893">
        <f ca="1">IFERROR(__xludf.DUMMYFUNCTION("IMPORTRANGE(""https://docs.google.com/spreadsheets/d/1MeEWN-I1oV_STSDYn1IFDPWt_1FKiwhDph83XaGc0o0/edit?usp=sharing"",""งบพรบ!S76"")"),0)</f>
        <v>0</v>
      </c>
      <c r="N49" s="893">
        <f ca="1">IFERROR(__xludf.DUMMYFUNCTION("IMPORTRANGE(""https://docs.google.com/spreadsheets/d/1MeEWN-I1oV_STSDYn1IFDPWt_1FKiwhDph83XaGc0o0/edit?usp=sharing"",""งบพรบ!U76"")"),0)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726500</v>
      </c>
      <c r="M53" s="956">
        <f t="shared" ca="1" si="31"/>
        <v>565083</v>
      </c>
      <c r="N53" s="956">
        <f t="shared" ca="1" si="31"/>
        <v>500315.99</v>
      </c>
      <c r="O53" s="956">
        <f t="shared" ref="O53:O61" ca="1" si="32">IF(L53&gt;0,N53*100/L53,0)</f>
        <v>68.866619408121124</v>
      </c>
      <c r="P53" s="956">
        <f t="shared" ref="P53:P61" ca="1" si="33">IF(M53&gt;0,N53*100/M53,0)</f>
        <v>88.538496114730052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726500</v>
      </c>
      <c r="M55" s="962">
        <f t="shared" ca="1" si="34"/>
        <v>565083</v>
      </c>
      <c r="N55" s="962">
        <f t="shared" ca="1" si="34"/>
        <v>500315.99</v>
      </c>
      <c r="O55" s="962">
        <f t="shared" ca="1" si="32"/>
        <v>68.866619408121124</v>
      </c>
      <c r="P55" s="962">
        <f t="shared" ca="1" si="33"/>
        <v>88.538496114730052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686700</v>
      </c>
      <c r="M56" s="881">
        <f t="shared" ca="1" si="35"/>
        <v>525283</v>
      </c>
      <c r="N56" s="881">
        <f t="shared" ca="1" si="35"/>
        <v>460515.99</v>
      </c>
      <c r="O56" s="881">
        <f t="shared" ca="1" si="32"/>
        <v>67.062179991262553</v>
      </c>
      <c r="P56" s="881">
        <f t="shared" ca="1" si="33"/>
        <v>87.670073084413545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IFERROR(__xludf.DUMMYFUNCTION("IMPORTRANGE(""https://docs.google.com/spreadsheets/d/1MeEWN-I1oV_STSDYn1IFDPWt_1FKiwhDph83XaGc0o0/edit?usp=sharing"",""งบพรบ!W76"")"),686700)</f>
        <v>686700</v>
      </c>
      <c r="M58" s="887">
        <f ca="1">IFERROR(__xludf.DUMMYFUNCTION("IMPORTRANGE(""https://docs.google.com/spreadsheets/d/1MeEWN-I1oV_STSDYn1IFDPWt_1FKiwhDph83XaGc0o0/edit?usp=sharing"",""งบพรบ!AB76"")"),525283)</f>
        <v>525283</v>
      </c>
      <c r="N58" s="887">
        <f ca="1">IFERROR(__xludf.DUMMYFUNCTION("IMPORTRANGE(""https://docs.google.com/spreadsheets/d/1MeEWN-I1oV_STSDYn1IFDPWt_1FKiwhDph83XaGc0o0/edit?usp=sharing"",""งบพรบ!AD76"")"),460515.99)</f>
        <v>460515.99</v>
      </c>
      <c r="O58" s="887">
        <f t="shared" ca="1" si="32"/>
        <v>67.062179991262553</v>
      </c>
      <c r="P58" s="887">
        <f t="shared" ca="1" si="33"/>
        <v>87.670073084413545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39800</v>
      </c>
      <c r="M59" s="881">
        <f t="shared" ca="1" si="36"/>
        <v>39800</v>
      </c>
      <c r="N59" s="881">
        <f t="shared" ca="1" si="36"/>
        <v>39800</v>
      </c>
      <c r="O59" s="881">
        <f t="shared" ca="1" si="32"/>
        <v>100</v>
      </c>
      <c r="P59" s="881">
        <f t="shared" ca="1" si="33"/>
        <v>100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IFERROR(__xludf.DUMMYFUNCTION("IMPORTRANGE(""https://docs.google.com/spreadsheets/d/1MeEWN-I1oV_STSDYn1IFDPWt_1FKiwhDph83XaGc0o0/edit?usp=sharing"",""งบพรบ!Z76"")"),39800)</f>
        <v>39800</v>
      </c>
      <c r="M61" s="893">
        <f ca="1">IFERROR(__xludf.DUMMYFUNCTION("IMPORTRANGE(""https://docs.google.com/spreadsheets/d/1MeEWN-I1oV_STSDYn1IFDPWt_1FKiwhDph83XaGc0o0/edit?usp=sharing"",""งบพรบ!AC76"")"),39800)</f>
        <v>39800</v>
      </c>
      <c r="N61" s="893">
        <f ca="1">IFERROR(__xludf.DUMMYFUNCTION("IMPORTRANGE(""https://docs.google.com/spreadsheets/d/1MeEWN-I1oV_STSDYn1IFDPWt_1FKiwhDph83XaGc0o0/edit?usp=sharing"",""งบพรบ!AE76"")"),39800)</f>
        <v>39800</v>
      </c>
      <c r="O61" s="893">
        <f t="shared" ca="1" si="32"/>
        <v>100</v>
      </c>
      <c r="P61" s="893">
        <f t="shared" ca="1" si="33"/>
        <v>100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1</v>
      </c>
      <c r="J64" s="982">
        <f t="shared" si="37"/>
        <v>1</v>
      </c>
      <c r="K64" s="983">
        <f t="shared" ref="K64:K65" ca="1" si="38">IF(I64&gt;0,J64*100/I64,0)</f>
        <v>100</v>
      </c>
      <c r="L64" s="984"/>
      <c r="M64" s="984"/>
      <c r="N64" s="984"/>
      <c r="O64" s="984"/>
      <c r="P64" s="984"/>
    </row>
    <row r="65" spans="1:26" ht="19.5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30</v>
      </c>
      <c r="J65" s="982">
        <f t="shared" si="37"/>
        <v>30</v>
      </c>
      <c r="K65" s="983">
        <f t="shared" ca="1" si="38"/>
        <v>100</v>
      </c>
      <c r="L65" s="984"/>
      <c r="M65" s="984"/>
      <c r="N65" s="984"/>
      <c r="O65" s="984"/>
      <c r="P65" s="984"/>
    </row>
    <row r="66" spans="1:26" ht="19.5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795800</v>
      </c>
      <c r="M66" s="992">
        <f t="shared" ca="1" si="39"/>
        <v>870600</v>
      </c>
      <c r="N66" s="992">
        <f t="shared" ca="1" si="39"/>
        <v>515892</v>
      </c>
      <c r="O66" s="992">
        <f t="shared" ref="O66:O74" ca="1" si="40">IF(L66&gt;0,N66*100/L66,0)</f>
        <v>64.826840914802716</v>
      </c>
      <c r="P66" s="992">
        <f t="shared" ref="P66:P74" ca="1" si="41">IF(M66&gt;0,N66*100/M66,0)</f>
        <v>59.257064093728467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795800</v>
      </c>
      <c r="M68" s="887">
        <f t="shared" ca="1" si="42"/>
        <v>870600</v>
      </c>
      <c r="N68" s="887">
        <f t="shared" ca="1" si="42"/>
        <v>515892</v>
      </c>
      <c r="O68" s="887">
        <f t="shared" ca="1" si="40"/>
        <v>64.826840914802716</v>
      </c>
      <c r="P68" s="887">
        <f t="shared" ca="1" si="41"/>
        <v>59.257064093728467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795800</v>
      </c>
      <c r="M69" s="881">
        <f t="shared" ca="1" si="43"/>
        <v>870600</v>
      </c>
      <c r="N69" s="881">
        <f t="shared" ca="1" si="43"/>
        <v>515892</v>
      </c>
      <c r="O69" s="881">
        <f t="shared" ca="1" si="40"/>
        <v>64.826840914802716</v>
      </c>
      <c r="P69" s="881">
        <f t="shared" ca="1" si="41"/>
        <v>59.257064093728467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IFERROR(__xludf.DUMMYFUNCTION("IMPORTRANGE(""https://docs.google.com/spreadsheets/d/1MeEWN-I1oV_STSDYn1IFDPWt_1FKiwhDph83XaGc0o0/edit?usp=sharing"",""งบพรบ!AG76"")"),795800)</f>
        <v>795800</v>
      </c>
      <c r="M71" s="887">
        <f ca="1">IFERROR(__xludf.DUMMYFUNCTION("IMPORTRANGE(""https://docs.google.com/spreadsheets/d/1MeEWN-I1oV_STSDYn1IFDPWt_1FKiwhDph83XaGc0o0/edit?usp=sharing"",""งบพรบ!AL76"")"),870600)</f>
        <v>870600</v>
      </c>
      <c r="N71" s="887">
        <f ca="1">IFERROR(__xludf.DUMMYFUNCTION("IMPORTRANGE(""https://docs.google.com/spreadsheets/d/1MeEWN-I1oV_STSDYn1IFDPWt_1FKiwhDph83XaGc0o0/edit?usp=sharing"",""งบพรบ!AN76"")"),515892)</f>
        <v>515892</v>
      </c>
      <c r="O71" s="887">
        <f t="shared" ca="1" si="40"/>
        <v>64.826840914802716</v>
      </c>
      <c r="P71" s="887">
        <f t="shared" ca="1" si="41"/>
        <v>59.257064093728467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IFERROR(__xludf.DUMMYFUNCTION("IMPORTRANGE(""https://docs.google.com/spreadsheets/d/1MeEWN-I1oV_STSDYn1IFDPWt_1FKiwhDph83XaGc0o0/edit?usp=sharing"",""งบพรบ!AJ76"")"),0)</f>
        <v>0</v>
      </c>
      <c r="M74" s="887">
        <f ca="1">IFERROR(__xludf.DUMMYFUNCTION("IMPORTRANGE(""https://docs.google.com/spreadsheets/d/1MeEWN-I1oV_STSDYn1IFDPWt_1FKiwhDph83XaGc0o0/edit?usp=sharing"",""งบพรบ!AM76"")"),0)</f>
        <v>0</v>
      </c>
      <c r="N74" s="887">
        <f ca="1">IFERROR(__xludf.DUMMYFUNCTION("IMPORTRANGE(""https://docs.google.com/spreadsheets/d/1MeEWN-I1oV_STSDYn1IFDPWt_1FKiwhDph83XaGc0o0/edit?usp=sharing"",""งบพรบ!AO76"")"),0)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1</v>
      </c>
      <c r="J76" s="880">
        <f t="shared" si="45"/>
        <v>1</v>
      </c>
      <c r="K76" s="998">
        <f t="shared" ref="K76:K84" ca="1" si="46">IF(I76&gt;0,J76*100/I76,0)</f>
        <v>100</v>
      </c>
      <c r="L76" s="998"/>
      <c r="M76" s="998"/>
      <c r="N76" s="998"/>
      <c r="O76" s="998"/>
      <c r="P76" s="998"/>
    </row>
    <row r="77" spans="1:26" ht="19.5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30</v>
      </c>
      <c r="J77" s="880">
        <f t="shared" si="45"/>
        <v>30</v>
      </c>
      <c r="K77" s="998">
        <f t="shared" ca="1" si="46"/>
        <v>100</v>
      </c>
      <c r="L77" s="998"/>
      <c r="M77" s="998"/>
      <c r="N77" s="998"/>
      <c r="O77" s="998"/>
      <c r="P77" s="998"/>
    </row>
    <row r="78" spans="1:26" ht="18.75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IFERROR(__xludf.DUMMYFUNCTION("IMPORTRANGE(""https://docs.google.com/spreadsheets/d/1QqKyyYR6Q21VydFLVH3TRQUabQu_ym0Zz7PgGX0-kHA/edit?usp=sharing"",""แผน!H76"")"),1)</f>
        <v>1</v>
      </c>
      <c r="J78" s="1012">
        <v>1</v>
      </c>
      <c r="K78" s="998">
        <f t="shared" ca="1" si="46"/>
        <v>100</v>
      </c>
      <c r="L78" s="998"/>
      <c r="M78" s="998"/>
      <c r="N78" s="998"/>
      <c r="O78" s="998"/>
      <c r="P78" s="998"/>
    </row>
    <row r="79" spans="1:26" ht="18.75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IFERROR(__xludf.DUMMYFUNCTION("IMPORTRANGE(""https://docs.google.com/spreadsheets/d/1QqKyyYR6Q21VydFLVH3TRQUabQu_ym0Zz7PgGX0-kHA/edit?usp=sharing"",""แผน!I76"")"),30)</f>
        <v>30</v>
      </c>
      <c r="J79" s="1012">
        <v>30</v>
      </c>
      <c r="K79" s="998">
        <f t="shared" ca="1" si="46"/>
        <v>100</v>
      </c>
      <c r="L79" s="998"/>
      <c r="M79" s="998"/>
      <c r="N79" s="998"/>
      <c r="O79" s="998"/>
      <c r="P79" s="998"/>
    </row>
    <row r="80" spans="1:26" ht="18.75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IFERROR(__xludf.DUMMYFUNCTION("IMPORTRANGE(""https://docs.google.com/spreadsheets/d/1QqKyyYR6Q21VydFLVH3TRQUabQu_ym0Zz7PgGX0-kHA/edit?usp=sharing"",""แผน!F76"")"),0)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IFERROR(__xludf.DUMMYFUNCTION("IMPORTRANGE(""https://docs.google.com/spreadsheets/d/1QqKyyYR6Q21VydFLVH3TRQUabQu_ym0Zz7PgGX0-kHA/edit?usp=sharing"",""แผน!G76"")"),0)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IFERROR(__xludf.DUMMYFUNCTION("IMPORTRANGE(""https://docs.google.com/spreadsheets/d/1QqKyyYR6Q21VydFLVH3TRQUabQu_ym0Zz7PgGX0-kHA/edit?usp=sharing"",""แผน!D76"")"),0)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IFERROR(__xludf.DUMMYFUNCTION("IMPORTRANGE(""https://docs.google.com/spreadsheets/d/1QqKyyYR6Q21VydFLVH3TRQUabQu_ym0Zz7PgGX0-kHA/edit?usp=sharing"",""แผน!E76"")"),0)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IFERROR(__xludf.DUMMYFUNCTION("IMPORTRANGE(""https://docs.google.com/spreadsheets/d/1QqKyyYR6Q21VydFLVH3TRQUabQu_ym0Zz7PgGX0-kHA/edit?usp=sharing"",""แผน!J76"")"),1)</f>
        <v>1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0</v>
      </c>
      <c r="J86" s="982">
        <f t="shared" si="47"/>
        <v>0</v>
      </c>
      <c r="K86" s="983">
        <f t="shared" ref="K86:K87" ca="1" si="48">IF(I86&gt;0,J86*100/I86,0)</f>
        <v>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0</v>
      </c>
      <c r="J87" s="982">
        <f t="shared" si="47"/>
        <v>0</v>
      </c>
      <c r="K87" s="983">
        <f t="shared" ca="1" si="48"/>
        <v>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31200</v>
      </c>
      <c r="M88" s="992">
        <f t="shared" ca="1" si="49"/>
        <v>29350</v>
      </c>
      <c r="N88" s="992">
        <f t="shared" ca="1" si="49"/>
        <v>26285</v>
      </c>
      <c r="O88" s="992">
        <f t="shared" ref="O88:O96" ca="1" si="50">IF(L88&gt;0,N88*100/L88,0)</f>
        <v>84.246794871794876</v>
      </c>
      <c r="P88" s="992">
        <f t="shared" ref="P88:P96" ca="1" si="51">IF(M88&gt;0,N88*100/M88,0)</f>
        <v>89.557069846678019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31200</v>
      </c>
      <c r="M90" s="887">
        <f t="shared" ca="1" si="52"/>
        <v>29350</v>
      </c>
      <c r="N90" s="887">
        <f t="shared" ca="1" si="52"/>
        <v>26285</v>
      </c>
      <c r="O90" s="887">
        <f t="shared" ca="1" si="50"/>
        <v>84.246794871794876</v>
      </c>
      <c r="P90" s="887">
        <f t="shared" ca="1" si="51"/>
        <v>89.557069846678019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31200</v>
      </c>
      <c r="M91" s="881">
        <f t="shared" ca="1" si="53"/>
        <v>29350</v>
      </c>
      <c r="N91" s="881">
        <f t="shared" ca="1" si="53"/>
        <v>26285</v>
      </c>
      <c r="O91" s="881">
        <f t="shared" ca="1" si="50"/>
        <v>84.246794871794876</v>
      </c>
      <c r="P91" s="881">
        <f t="shared" ca="1" si="51"/>
        <v>89.557069846678019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IFERROR(__xludf.DUMMYFUNCTION("IMPORTRANGE(""https://docs.google.com/spreadsheets/d/1MeEWN-I1oV_STSDYn1IFDPWt_1FKiwhDph83XaGc0o0/edit?usp=sharing"",""งบพรบ!AQ76"")"),31200)</f>
        <v>31200</v>
      </c>
      <c r="M93" s="887">
        <f ca="1">IFERROR(__xludf.DUMMYFUNCTION("IMPORTRANGE(""https://docs.google.com/spreadsheets/d/1MeEWN-I1oV_STSDYn1IFDPWt_1FKiwhDph83XaGc0o0/edit?usp=sharing"",""งบพรบ!AV76"")"),29350)</f>
        <v>29350</v>
      </c>
      <c r="N93" s="887">
        <f ca="1">IFERROR(__xludf.DUMMYFUNCTION("IMPORTRANGE(""https://docs.google.com/spreadsheets/d/1MeEWN-I1oV_STSDYn1IFDPWt_1FKiwhDph83XaGc0o0/edit?usp=sharing"",""งบพรบ!AX76"")"),26285)</f>
        <v>26285</v>
      </c>
      <c r="O93" s="887">
        <f t="shared" ca="1" si="50"/>
        <v>84.246794871794876</v>
      </c>
      <c r="P93" s="887">
        <f t="shared" ca="1" si="51"/>
        <v>89.557069846678019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IFERROR(__xludf.DUMMYFUNCTION("IMPORTRANGE(""https://docs.google.com/spreadsheets/d/1MeEWN-I1oV_STSDYn1IFDPWt_1FKiwhDph83XaGc0o0/edit?usp=sharing"",""งบพรบ!AT76"")"),0)</f>
        <v>0</v>
      </c>
      <c r="M96" s="887">
        <f ca="1">IFERROR(__xludf.DUMMYFUNCTION("IMPORTRANGE(""https://docs.google.com/spreadsheets/d/1MeEWN-I1oV_STSDYn1IFDPWt_1FKiwhDph83XaGc0o0/edit?usp=sharing"",""งบพรบ!AW76"")"),0)</f>
        <v>0</v>
      </c>
      <c r="N96" s="887">
        <f ca="1">IFERROR(__xludf.DUMMYFUNCTION("IMPORTRANGE(""https://docs.google.com/spreadsheets/d/1MeEWN-I1oV_STSDYn1IFDPWt_1FKiwhDph83XaGc0o0/edit?usp=sharing"",""งบพรบ!AY76"")"),0)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IFERROR(__xludf.DUMMYFUNCTION("IMPORTRANGE(""https://docs.google.com/spreadsheets/d/1QqKyyYR6Q21VydFLVH3TRQUabQu_ym0Zz7PgGX0-kHA/edit?usp=sharing"",""แผน!K76"")"),0)</f>
        <v>0</v>
      </c>
      <c r="J98" s="880">
        <f>J102</f>
        <v>0</v>
      </c>
      <c r="K98" s="881">
        <f t="shared" ref="K98:K100" ca="1" si="55">IF(I98&gt;0,J98*100/I98,0)</f>
        <v>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IFERROR(__xludf.DUMMYFUNCTION("IMPORTRANGE(""https://docs.google.com/spreadsheets/d/1QqKyyYR6Q21VydFLVH3TRQUabQu_ym0Zz7PgGX0-kHA/edit?usp=sharing"",""แผน!L76"")"),0)</f>
        <v>0</v>
      </c>
      <c r="J99" s="880">
        <f>J104</f>
        <v>0</v>
      </c>
      <c r="K99" s="881">
        <f t="shared" ca="1" si="55"/>
        <v>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IFERROR(__xludf.DUMMYFUNCTION("IMPORTRANGE(""https://docs.google.com/spreadsheets/d/1QqKyyYR6Q21VydFLVH3TRQUabQu_ym0Zz7PgGX0-kHA/edit?usp=sharing"",""แผน!M76"")"),1)</f>
        <v>1</v>
      </c>
      <c r="J100" s="880">
        <f>J107+J110</f>
        <v>1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IFERROR(__xludf.DUMMYFUNCTION("IMPORTRANGE(""https://docs.google.com/spreadsheets/d/1QqKyyYR6Q21VydFLVH3TRQUabQu_ym0Zz7PgGX0-kHA/edit?usp=sharing"",""แผน!N76"")"),0)</f>
        <v>0</v>
      </c>
      <c r="J102" s="1012">
        <v>0</v>
      </c>
      <c r="K102" s="881">
        <f t="shared" ref="K102:K104" ca="1" si="56">IF(I102&gt;0,J102*100/I102,0)</f>
        <v>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IFERROR(__xludf.DUMMYFUNCTION("IMPORTRANGE(""https://docs.google.com/spreadsheets/d/1QqKyyYR6Q21VydFLVH3TRQUabQu_ym0Zz7PgGX0-kHA/edit?usp=sharing"",""แผน!O76"")"),0)</f>
        <v>0</v>
      </c>
      <c r="J103" s="1012">
        <v>0</v>
      </c>
      <c r="K103" s="881">
        <f t="shared" ca="1" si="56"/>
        <v>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IFERROR(__xludf.DUMMYFUNCTION("IMPORTRANGE(""https://docs.google.com/spreadsheets/d/1QqKyyYR6Q21VydFLVH3TRQUabQu_ym0Zz7PgGX0-kHA/edit?usp=sharing"",""แผน!O76"")"),0)</f>
        <v>0</v>
      </c>
      <c r="J104" s="1012">
        <v>0</v>
      </c>
      <c r="K104" s="881">
        <f t="shared" ca="1" si="56"/>
        <v>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IFERROR(__xludf.DUMMYFUNCTION("IMPORTRANGE(""https://docs.google.com/spreadsheets/d/1QqKyyYR6Q21VydFLVH3TRQUabQu_ym0Zz7PgGX0-kHA/edit?usp=sharing"",""แผน!P76"")"),1)</f>
        <v>1</v>
      </c>
      <c r="J106" s="1012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IFERROR(__xludf.DUMMYFUNCTION("IMPORTRANGE(""https://docs.google.com/spreadsheets/d/1QqKyyYR6Q21VydFLVH3TRQUabQu_ym0Zz7PgGX0-kHA/edit?usp=sharing"",""แผน!P76"")"),1)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IFERROR(__xludf.DUMMYFUNCTION("IMPORTRANGE(""https://docs.google.com/spreadsheets/d/1QqKyyYR6Q21VydFLVH3TRQUabQu_ym0Zz7PgGX0-kHA/edit?usp=sharing"",""แผน!Q76"")"),0)</f>
        <v>0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IFERROR(__xludf.DUMMYFUNCTION("IMPORTRANGE(""https://docs.google.com/spreadsheets/d/1QqKyyYR6Q21VydFLVH3TRQUabQu_ym0Zz7PgGX0-kHA/edit?usp=sharing"",""แผน!Q76"")"),0)</f>
        <v>0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IFERROR(__xludf.DUMMYFUNCTION("IMPORTRANGE(""https://docs.google.com/spreadsheets/d/1QqKyyYR6Q21VydFLVH3TRQUabQu_ym0Zz7PgGX0-kHA/edit?usp=sharing"",""แผน!R76"")"),0)</f>
        <v>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1</v>
      </c>
      <c r="J112" s="1019">
        <f t="shared" si="59"/>
        <v>1</v>
      </c>
      <c r="K112" s="1020">
        <f t="shared" ca="1" si="58"/>
        <v>100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IFERROR(__xludf.DUMMYFUNCTION("IMPORTRANGE(""https://docs.google.com/spreadsheets/d/1QqKyyYR6Q21VydFLVH3TRQUabQu_ym0Zz7PgGX0-kHA/edit?usp=sharing"",""แผน!R76"")"),0)</f>
        <v>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IFERROR(__xludf.DUMMYFUNCTION("IMPORTRANGE(""https://docs.google.com/spreadsheets/d/1QqKyyYR6Q21VydFLVH3TRQUabQu_ym0Zz7PgGX0-kHA/edit?usp=sharing"",""แผน!R76"")"),0)</f>
        <v>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IFERROR(__xludf.DUMMYFUNCTION("IMPORTRANGE(""https://docs.google.com/spreadsheets/d/1QqKyyYR6Q21VydFLVH3TRQUabQu_ym0Zz7PgGX0-kHA/edit?usp=sharing"",""แผน!S76"")"),1)</f>
        <v>1</v>
      </c>
      <c r="J115" s="1012">
        <v>1</v>
      </c>
      <c r="K115" s="881">
        <f t="shared" ca="1" si="58"/>
        <v>100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IFERROR(__xludf.DUMMYFUNCTION("IMPORTRANGE(""https://docs.google.com/spreadsheets/d/1QqKyyYR6Q21VydFLVH3TRQUabQu_ym0Zz7PgGX0-kHA/edit?usp=sharing"",""แผน!T76"")"),0)</f>
        <v>0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>
      <c r="A118" s="977"/>
      <c r="B118" s="978" t="s">
        <v>65</v>
      </c>
      <c r="C118" s="1026"/>
      <c r="D118" s="980"/>
      <c r="E118" s="979"/>
      <c r="F118" s="979"/>
      <c r="G118" s="981"/>
      <c r="H118" s="205" t="s">
        <v>66</v>
      </c>
      <c r="I118" s="1027">
        <v>1</v>
      </c>
      <c r="J118" s="1027">
        <f>J440</f>
        <v>1</v>
      </c>
      <c r="K118" s="984">
        <f>IF(I118&gt;0,J118*100/I118,0)</f>
        <v>100</v>
      </c>
      <c r="L118" s="984"/>
      <c r="M118" s="984"/>
      <c r="N118" s="984"/>
      <c r="O118" s="984"/>
      <c r="P118" s="984"/>
    </row>
    <row r="119" spans="1:26" ht="19.5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IFERROR(__xludf.DUMMYFUNCTION("IMPORTRANGE(""https://docs.google.com/spreadsheets/d/1MeEWN-I1oV_STSDYn1IFDPWt_1FKiwhDph83XaGc0o0/edit?usp=sharing"",""งบพรบ!BA76"")"),0)</f>
        <v>0</v>
      </c>
      <c r="M124" s="887">
        <f ca="1">IFERROR(__xludf.DUMMYFUNCTION("IMPORTRANGE(""https://docs.google.com/spreadsheets/d/1MeEWN-I1oV_STSDYn1IFDPWt_1FKiwhDph83XaGc0o0/edit?usp=sharing"",""งบพรบ!BF76"")"),0)</f>
        <v>0</v>
      </c>
      <c r="N124" s="887">
        <f ca="1">IFERROR(__xludf.DUMMYFUNCTION("IMPORTRANGE(""https://docs.google.com/spreadsheets/d/1MeEWN-I1oV_STSDYn1IFDPWt_1FKiwhDph83XaGc0o0/edit?usp=sharing"",""งบพรบ!BH76"")"),0)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IFERROR(__xludf.DUMMYFUNCTION("IMPORTRANGE(""https://docs.google.com/spreadsheets/d/1MeEWN-I1oV_STSDYn1IFDPWt_1FKiwhDph83XaGc0o0/edit?usp=sharing"",""งบพรบ!BD76"")"),0)</f>
        <v>0</v>
      </c>
      <c r="M127" s="887">
        <f ca="1">IFERROR(__xludf.DUMMYFUNCTION("IMPORTRANGE(""https://docs.google.com/spreadsheets/d/1MeEWN-I1oV_STSDYn1IFDPWt_1FKiwhDph83XaGc0o0/edit?usp=sharing"",""งบพรบ!BG76"")"),0)</f>
        <v>0</v>
      </c>
      <c r="N127" s="887">
        <f ca="1">IFERROR(__xludf.DUMMYFUNCTION("IMPORTRANGE(""https://docs.google.com/spreadsheets/d/1MeEWN-I1oV_STSDYn1IFDPWt_1FKiwhDph83XaGc0o0/edit?usp=sharing"",""งบพรบ!BI76"")"),0)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1</v>
      </c>
      <c r="J130" s="982">
        <f t="shared" si="66"/>
        <v>1</v>
      </c>
      <c r="K130" s="983">
        <f t="shared" ref="K130:K131" ca="1" si="67">IF(I130&gt;0,J130*100/I130,0)</f>
        <v>100</v>
      </c>
      <c r="L130" s="984"/>
      <c r="M130" s="984"/>
      <c r="N130" s="984"/>
      <c r="O130" s="984"/>
      <c r="P130" s="984"/>
    </row>
    <row r="131" spans="1:26" ht="19.5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10</v>
      </c>
      <c r="J131" s="982">
        <f t="shared" ca="1" si="68"/>
        <v>10</v>
      </c>
      <c r="K131" s="983">
        <f t="shared" ca="1" si="67"/>
        <v>100</v>
      </c>
      <c r="L131" s="984"/>
      <c r="M131" s="984"/>
      <c r="N131" s="984"/>
      <c r="O131" s="984"/>
      <c r="P131" s="984"/>
    </row>
    <row r="132" spans="1:26" ht="19.5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151655</v>
      </c>
      <c r="M132" s="992">
        <f t="shared" ca="1" si="69"/>
        <v>146900</v>
      </c>
      <c r="N132" s="992">
        <f t="shared" ca="1" si="69"/>
        <v>120945</v>
      </c>
      <c r="O132" s="992">
        <f t="shared" ref="O132:O140" ca="1" si="70">IF(L132&gt;0,N132*100/L132,0)</f>
        <v>79.750090666314989</v>
      </c>
      <c r="P132" s="992">
        <f t="shared" ref="P132:P140" ca="1" si="71">IF(M132&gt;0,N132*100/M132,0)</f>
        <v>82.331518039482646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151655</v>
      </c>
      <c r="M134" s="887">
        <f t="shared" ca="1" si="72"/>
        <v>146900</v>
      </c>
      <c r="N134" s="887">
        <f t="shared" ca="1" si="72"/>
        <v>120945</v>
      </c>
      <c r="O134" s="887">
        <f t="shared" ca="1" si="70"/>
        <v>79.750090666314989</v>
      </c>
      <c r="P134" s="887">
        <f t="shared" ca="1" si="71"/>
        <v>82.331518039482646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48655</v>
      </c>
      <c r="M135" s="881">
        <f t="shared" ca="1" si="73"/>
        <v>43900</v>
      </c>
      <c r="N135" s="881">
        <f t="shared" ca="1" si="73"/>
        <v>17945</v>
      </c>
      <c r="O135" s="881">
        <f t="shared" ca="1" si="70"/>
        <v>36.882129277566541</v>
      </c>
      <c r="P135" s="881">
        <f t="shared" ca="1" si="71"/>
        <v>40.876993166287015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IFERROR(__xludf.DUMMYFUNCTION("IMPORTRANGE(""https://docs.google.com/spreadsheets/d/1MeEWN-I1oV_STSDYn1IFDPWt_1FKiwhDph83XaGc0o0/edit?usp=sharing"",""งบพรบ!BK76"")"),48655)</f>
        <v>48655</v>
      </c>
      <c r="M137" s="887">
        <f ca="1">IFERROR(__xludf.DUMMYFUNCTION("IMPORTRANGE(""https://docs.google.com/spreadsheets/d/1MeEWN-I1oV_STSDYn1IFDPWt_1FKiwhDph83XaGc0o0/edit?usp=sharing"",""งบพรบ!BP76"")"),43900)</f>
        <v>43900</v>
      </c>
      <c r="N137" s="887">
        <f ca="1">IFERROR(__xludf.DUMMYFUNCTION("IMPORTRANGE(""https://docs.google.com/spreadsheets/d/1MeEWN-I1oV_STSDYn1IFDPWt_1FKiwhDph83XaGc0o0/edit?usp=sharing"",""งบพรบ!BR76"")"),17945)</f>
        <v>17945</v>
      </c>
      <c r="O137" s="887">
        <f t="shared" ca="1" si="70"/>
        <v>36.882129277566541</v>
      </c>
      <c r="P137" s="887">
        <f t="shared" ca="1" si="71"/>
        <v>40.876993166287015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103000</v>
      </c>
      <c r="M138" s="881">
        <f t="shared" ca="1" si="74"/>
        <v>103000</v>
      </c>
      <c r="N138" s="881">
        <f t="shared" ca="1" si="74"/>
        <v>103000</v>
      </c>
      <c r="O138" s="881">
        <f t="shared" ca="1" si="70"/>
        <v>100</v>
      </c>
      <c r="P138" s="881">
        <f t="shared" ca="1" si="71"/>
        <v>100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IFERROR(__xludf.DUMMYFUNCTION("IMPORTRANGE(""https://docs.google.com/spreadsheets/d/1MeEWN-I1oV_STSDYn1IFDPWt_1FKiwhDph83XaGc0o0/edit?usp=sharing"",""งบพรบ!BN76"")"),103000)</f>
        <v>103000</v>
      </c>
      <c r="M140" s="887">
        <f ca="1">IFERROR(__xludf.DUMMYFUNCTION("IMPORTRANGE(""https://docs.google.com/spreadsheets/d/1MeEWN-I1oV_STSDYn1IFDPWt_1FKiwhDph83XaGc0o0/edit?usp=sharing"",""งบพรบ!BQ76"")"),103000)</f>
        <v>103000</v>
      </c>
      <c r="N140" s="887">
        <f ca="1">IFERROR(__xludf.DUMMYFUNCTION("IMPORTRANGE(""https://docs.google.com/spreadsheets/d/1MeEWN-I1oV_STSDYn1IFDPWt_1FKiwhDph83XaGc0o0/edit?usp=sharing"",""งบพรบ!BS76"")"),103000)</f>
        <v>103000</v>
      </c>
      <c r="O140" s="887">
        <f t="shared" ca="1" si="70"/>
        <v>100</v>
      </c>
      <c r="P140" s="887">
        <f t="shared" ca="1" si="71"/>
        <v>100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10</v>
      </c>
      <c r="J143" s="880">
        <f ca="1">IF(AND(J144&gt;=I144,J145&gt;=I145),J145,0)</f>
        <v>10</v>
      </c>
      <c r="K143" s="881">
        <f t="shared" ref="K143:K146" ca="1" si="75">IF(I143&gt;0,J143*100/I143,0)</f>
        <v>100</v>
      </c>
      <c r="L143" s="881"/>
      <c r="M143" s="881"/>
      <c r="N143" s="881"/>
      <c r="O143" s="881"/>
      <c r="P143" s="881"/>
    </row>
    <row r="144" spans="1:26" ht="19.5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IFERROR(__xludf.DUMMYFUNCTION("IMPORTRANGE(""https://docs.google.com/spreadsheets/d/1QqKyyYR6Q21VydFLVH3TRQUabQu_ym0Zz7PgGX0-kHA/edit?usp=sharing"",""แผน!U76"")"),5)</f>
        <v>5</v>
      </c>
      <c r="J144" s="1012">
        <v>5</v>
      </c>
      <c r="K144" s="881">
        <f t="shared" ca="1" si="75"/>
        <v>100</v>
      </c>
      <c r="L144" s="881"/>
      <c r="M144" s="881"/>
      <c r="N144" s="881"/>
      <c r="O144" s="881"/>
      <c r="P144" s="881"/>
    </row>
    <row r="145" spans="1:26" ht="19.5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IFERROR(__xludf.DUMMYFUNCTION("IMPORTRANGE(""https://docs.google.com/spreadsheets/d/1QqKyyYR6Q21VydFLVH3TRQUabQu_ym0Zz7PgGX0-kHA/edit?usp=sharing"",""แผน!V76"")"),10)</f>
        <v>10</v>
      </c>
      <c r="J145" s="1012">
        <v>10</v>
      </c>
      <c r="K145" s="881">
        <f t="shared" ca="1" si="75"/>
        <v>100</v>
      </c>
      <c r="L145" s="881"/>
      <c r="M145" s="881"/>
      <c r="N145" s="881"/>
      <c r="O145" s="881"/>
      <c r="P145" s="881"/>
    </row>
    <row r="146" spans="1:26" ht="19.5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IFERROR(__xludf.DUMMYFUNCTION("IMPORTRANGE(""https://docs.google.com/spreadsheets/d/1QqKyyYR6Q21VydFLVH3TRQUabQu_ym0Zz7PgGX0-kHA/edit?usp=sharing"",""แผน!W76"")"),1)</f>
        <v>1</v>
      </c>
      <c r="J146" s="1012">
        <v>1</v>
      </c>
      <c r="K146" s="881">
        <f t="shared" ca="1" si="75"/>
        <v>100</v>
      </c>
      <c r="L146" s="881"/>
      <c r="M146" s="881"/>
      <c r="N146" s="881"/>
      <c r="O146" s="881"/>
      <c r="P146" s="881"/>
    </row>
    <row r="147" spans="1:26" ht="19.5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20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10000</v>
      </c>
      <c r="M149" s="992">
        <f t="shared" ca="1" si="77"/>
        <v>17380</v>
      </c>
      <c r="N149" s="992">
        <f t="shared" ca="1" si="77"/>
        <v>3450</v>
      </c>
      <c r="O149" s="992">
        <f t="shared" ref="O149:O157" ca="1" si="78">IF(L149&gt;0,N149*100/L149,0)</f>
        <v>34.5</v>
      </c>
      <c r="P149" s="992">
        <f t="shared" ref="P149:P157" ca="1" si="79">IF(M149&gt;0,N149*100/M149,0)</f>
        <v>19.850402761795166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10000</v>
      </c>
      <c r="M151" s="887">
        <f t="shared" ca="1" si="80"/>
        <v>17380</v>
      </c>
      <c r="N151" s="887">
        <f t="shared" ca="1" si="80"/>
        <v>3450</v>
      </c>
      <c r="O151" s="887">
        <f t="shared" ca="1" si="78"/>
        <v>34.5</v>
      </c>
      <c r="P151" s="887">
        <f t="shared" ca="1" si="79"/>
        <v>19.850402761795166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10000</v>
      </c>
      <c r="M152" s="881">
        <f t="shared" ca="1" si="81"/>
        <v>17380</v>
      </c>
      <c r="N152" s="881">
        <f t="shared" ca="1" si="81"/>
        <v>3450</v>
      </c>
      <c r="O152" s="881">
        <f t="shared" ca="1" si="78"/>
        <v>34.5</v>
      </c>
      <c r="P152" s="881">
        <f t="shared" ca="1" si="79"/>
        <v>19.850402761795166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IFERROR(__xludf.DUMMYFUNCTION("IMPORTRANGE(""https://docs.google.com/spreadsheets/d/1MeEWN-I1oV_STSDYn1IFDPWt_1FKiwhDph83XaGc0o0/edit?usp=sharing"",""งบพรบ!BU76"")"),10000)</f>
        <v>10000</v>
      </c>
      <c r="M154" s="887">
        <f ca="1">IFERROR(__xludf.DUMMYFUNCTION("IMPORTRANGE(""https://docs.google.com/spreadsheets/d/1MeEWN-I1oV_STSDYn1IFDPWt_1FKiwhDph83XaGc0o0/edit?usp=sharing"",""งบพรบ!BZ76"")"),17380)</f>
        <v>17380</v>
      </c>
      <c r="N154" s="887">
        <f ca="1">IFERROR(__xludf.DUMMYFUNCTION("IMPORTRANGE(""https://docs.google.com/spreadsheets/d/1MeEWN-I1oV_STSDYn1IFDPWt_1FKiwhDph83XaGc0o0/edit?usp=sharing"",""งบพรบ!CB76"")"),3450)</f>
        <v>3450</v>
      </c>
      <c r="O154" s="887">
        <f t="shared" ca="1" si="78"/>
        <v>34.5</v>
      </c>
      <c r="P154" s="887">
        <f t="shared" ca="1" si="79"/>
        <v>19.850402761795166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IFERROR(__xludf.DUMMYFUNCTION("IMPORTRANGE(""https://docs.google.com/spreadsheets/d/1MeEWN-I1oV_STSDYn1IFDPWt_1FKiwhDph83XaGc0o0/edit?usp=sharing"",""งบพรบ!BX76"")"),0)</f>
        <v>0</v>
      </c>
      <c r="M157" s="887">
        <f ca="1">IFERROR(__xludf.DUMMYFUNCTION("IMPORTRANGE(""https://docs.google.com/spreadsheets/d/1MeEWN-I1oV_STSDYn1IFDPWt_1FKiwhDph83XaGc0o0/edit?usp=sharing"",""งบพรบ!CA76"")"),0)</f>
        <v>0</v>
      </c>
      <c r="N157" s="887">
        <f ca="1">IFERROR(__xludf.DUMMYFUNCTION("IMPORTRANGE(""https://docs.google.com/spreadsheets/d/1MeEWN-I1oV_STSDYn1IFDPWt_1FKiwhDph83XaGc0o0/edit?usp=sharing"",""งบพรบ!CC76"")"),0)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IFERROR(__xludf.DUMMYFUNCTION("IMPORTRANGE(""https://docs.google.com/spreadsheets/d/1QqKyyYR6Q21VydFLVH3TRQUabQu_ym0Zz7PgGX0-kHA/edit?usp=sharing"",""แผน!X76"")"),20)</f>
        <v>20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 hidden="1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61">
        <f t="shared" ref="I164:J164" ca="1" si="83">I174+I177</f>
        <v>0</v>
      </c>
      <c r="J164" s="1061">
        <f t="shared" si="83"/>
        <v>0</v>
      </c>
      <c r="K164" s="1062">
        <f ca="1">IF(I164&gt;0,J164*100/I164,0)</f>
        <v>0</v>
      </c>
      <c r="L164" s="1062"/>
      <c r="M164" s="1062"/>
      <c r="N164" s="1062"/>
      <c r="O164" s="1062"/>
      <c r="P164" s="1062"/>
    </row>
    <row r="165" spans="1:26" ht="19.5" hidden="1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1">
        <f t="shared" ref="L165:N165" ca="1" si="84">L166+L167</f>
        <v>0</v>
      </c>
      <c r="M165" s="991">
        <f t="shared" ca="1" si="84"/>
        <v>0</v>
      </c>
      <c r="N165" s="991">
        <f t="shared" ca="1" si="84"/>
        <v>0</v>
      </c>
      <c r="O165" s="991">
        <f t="shared" ref="O165:O173" ca="1" si="85">IF(L165&gt;0,N165*100/L165,0)</f>
        <v>0</v>
      </c>
      <c r="P165" s="991">
        <f t="shared" ref="P165:P173" ca="1" si="86">IF(M165&gt;0,N165*100/M165,0)</f>
        <v>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0</v>
      </c>
      <c r="M167" s="887">
        <f t="shared" ca="1" si="87"/>
        <v>0</v>
      </c>
      <c r="N167" s="887">
        <f t="shared" ca="1" si="87"/>
        <v>0</v>
      </c>
      <c r="O167" s="887">
        <f t="shared" ca="1" si="85"/>
        <v>0</v>
      </c>
      <c r="P167" s="887">
        <f t="shared" ca="1" si="86"/>
        <v>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 hidden="1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0</v>
      </c>
      <c r="M168" s="881">
        <f t="shared" ca="1" si="88"/>
        <v>0</v>
      </c>
      <c r="N168" s="881">
        <f t="shared" ca="1" si="88"/>
        <v>0</v>
      </c>
      <c r="O168" s="881">
        <f t="shared" ca="1" si="85"/>
        <v>0</v>
      </c>
      <c r="P168" s="881">
        <f t="shared" ca="1" si="86"/>
        <v>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IFERROR(__xludf.DUMMYFUNCTION("IMPORTRANGE(""https://docs.google.com/spreadsheets/d/1MeEWN-I1oV_STSDYn1IFDPWt_1FKiwhDph83XaGc0o0/edit?usp=sharing"",""งบพรบ!CE76"")"),0)</f>
        <v>0</v>
      </c>
      <c r="M170" s="887">
        <f ca="1">IFERROR(__xludf.DUMMYFUNCTION("IMPORTRANGE(""https://docs.google.com/spreadsheets/d/1MeEWN-I1oV_STSDYn1IFDPWt_1FKiwhDph83XaGc0o0/edit?usp=sharing"",""งบพรบ!CJ76"")"),0)</f>
        <v>0</v>
      </c>
      <c r="N170" s="887">
        <f ca="1">IFERROR(__xludf.DUMMYFUNCTION("IMPORTRANGE(""https://docs.google.com/spreadsheets/d/1MeEWN-I1oV_STSDYn1IFDPWt_1FKiwhDph83XaGc0o0/edit?usp=sharing"",""งบพรบ!CL76"")"),0)</f>
        <v>0</v>
      </c>
      <c r="O170" s="887">
        <f t="shared" ca="1" si="85"/>
        <v>0</v>
      </c>
      <c r="P170" s="887">
        <f t="shared" ca="1" si="86"/>
        <v>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 hidden="1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IFERROR(__xludf.DUMMYFUNCTION("IMPORTRANGE(""https://docs.google.com/spreadsheets/d/1MeEWN-I1oV_STSDYn1IFDPWt_1FKiwhDph83XaGc0o0/edit?usp=sharing"",""งบพรบ!CH76"")"),0)</f>
        <v>0</v>
      </c>
      <c r="M173" s="887">
        <f ca="1">IFERROR(__xludf.DUMMYFUNCTION("IMPORTRANGE(""https://docs.google.com/spreadsheets/d/1MeEWN-I1oV_STSDYn1IFDPWt_1FKiwhDph83XaGc0o0/edit?usp=sharing"",""งบพรบ!CK76"")"),0)</f>
        <v>0</v>
      </c>
      <c r="N173" s="887">
        <f ca="1">IFERROR(__xludf.DUMMYFUNCTION("IMPORTRANGE(""https://docs.google.com/spreadsheets/d/1MeEWN-I1oV_STSDYn1IFDPWt_1FKiwhDph83XaGc0o0/edit?usp=sharing"",""งบพรบ!CM76"")"),0)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 hidden="1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0</v>
      </c>
      <c r="J174" s="1067">
        <f t="shared" si="90"/>
        <v>0</v>
      </c>
      <c r="K174" s="1068">
        <f ca="1">IF(I174&gt;0,J174*100/I174,0)</f>
        <v>0</v>
      </c>
      <c r="L174" s="1068"/>
      <c r="M174" s="1068"/>
      <c r="N174" s="1068"/>
      <c r="O174" s="1068"/>
      <c r="P174" s="1068"/>
    </row>
    <row r="175" spans="1:26" ht="19.5" hidden="1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 hidden="1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IFERROR(__xludf.DUMMYFUNCTION("IMPORTRANGE(""https://docs.google.com/spreadsheets/d/1QqKyyYR6Q21VydFLVH3TRQUabQu_ym0Zz7PgGX0-kHA/edit?usp=sharing"",""แผน!Y76"")"),0)</f>
        <v>0</v>
      </c>
      <c r="J176" s="1012">
        <v>0</v>
      </c>
      <c r="K176" s="998">
        <f ca="1">IF(I176&gt;0,J176*100/I176,0)</f>
        <v>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10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64000</v>
      </c>
      <c r="M181" s="992">
        <f t="shared" ca="1" si="92"/>
        <v>72370</v>
      </c>
      <c r="N181" s="992">
        <f t="shared" ca="1" si="92"/>
        <v>52720</v>
      </c>
      <c r="O181" s="992">
        <f t="shared" ref="O181:O189" ca="1" si="93">IF(L181&gt;0,N181*100/L181,0)</f>
        <v>82.375</v>
      </c>
      <c r="P181" s="992">
        <f t="shared" ref="P181:P189" ca="1" si="94">IF(M181&gt;0,N181*100/M181,0)</f>
        <v>72.847865137487915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64000</v>
      </c>
      <c r="M183" s="887">
        <f t="shared" ca="1" si="95"/>
        <v>72370</v>
      </c>
      <c r="N183" s="887">
        <f t="shared" ca="1" si="95"/>
        <v>52720</v>
      </c>
      <c r="O183" s="887">
        <f t="shared" ca="1" si="93"/>
        <v>82.375</v>
      </c>
      <c r="P183" s="887">
        <f t="shared" ca="1" si="94"/>
        <v>72.847865137487915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64000</v>
      </c>
      <c r="M184" s="881">
        <f t="shared" ca="1" si="96"/>
        <v>72370</v>
      </c>
      <c r="N184" s="881">
        <f t="shared" ca="1" si="96"/>
        <v>52720</v>
      </c>
      <c r="O184" s="881">
        <f t="shared" ca="1" si="93"/>
        <v>82.375</v>
      </c>
      <c r="P184" s="881">
        <f t="shared" ca="1" si="94"/>
        <v>72.847865137487915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IFERROR(__xludf.DUMMYFUNCTION("IMPORTRANGE(""https://docs.google.com/spreadsheets/d/1MeEWN-I1oV_STSDYn1IFDPWt_1FKiwhDph83XaGc0o0/edit?usp=sharing"",""งบพรบ!CO76"")"),64000)</f>
        <v>64000</v>
      </c>
      <c r="M186" s="887">
        <f ca="1">IFERROR(__xludf.DUMMYFUNCTION("IMPORTRANGE(""https://docs.google.com/spreadsheets/d/1MeEWN-I1oV_STSDYn1IFDPWt_1FKiwhDph83XaGc0o0/edit?usp=sharing"",""งบพรบ!CT76"")"),72370)</f>
        <v>72370</v>
      </c>
      <c r="N186" s="887">
        <f ca="1">IFERROR(__xludf.DUMMYFUNCTION("IMPORTRANGE(""https://docs.google.com/spreadsheets/d/1MeEWN-I1oV_STSDYn1IFDPWt_1FKiwhDph83XaGc0o0/edit?usp=sharing"",""งบพรบ!CV76"")"),52720)</f>
        <v>52720</v>
      </c>
      <c r="O186" s="887">
        <f t="shared" ca="1" si="93"/>
        <v>82.375</v>
      </c>
      <c r="P186" s="887">
        <f t="shared" ca="1" si="94"/>
        <v>72.847865137487915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IFERROR(__xludf.DUMMYFUNCTION("IMPORTRANGE(""https://docs.google.com/spreadsheets/d/1MeEWN-I1oV_STSDYn1IFDPWt_1FKiwhDph83XaGc0o0/edit?usp=sharing"",""งบพรบ!CR76"")"),0)</f>
        <v>0</v>
      </c>
      <c r="M189" s="887">
        <f ca="1">IFERROR(__xludf.DUMMYFUNCTION("IMPORTRANGE(""https://docs.google.com/spreadsheets/d/1MeEWN-I1oV_STSDYn1IFDPWt_1FKiwhDph83XaGc0o0/edit?usp=sharing"",""งบพรบ!CU76"")"),0)</f>
        <v>0</v>
      </c>
      <c r="N189" s="887">
        <f ca="1">IFERROR(__xludf.DUMMYFUNCTION("IMPORTRANGE(""https://docs.google.com/spreadsheets/d/1MeEWN-I1oV_STSDYn1IFDPWt_1FKiwhDph83XaGc0o0/edit?usp=sharing"",""งบพรบ!CW76"")"),0)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IFERROR(__xludf.DUMMYFUNCTION("IMPORTRANGE(""https://docs.google.com/spreadsheets/d/1QqKyyYR6Q21VydFLVH3TRQUabQu_ym0Zz7PgGX0-kHA/edit?usp=sharing"",""แผน!Z76"")"),6000)</f>
        <v>6000</v>
      </c>
      <c r="M191" s="992"/>
      <c r="N191" s="1081">
        <v>2450</v>
      </c>
      <c r="O191" s="992">
        <f ca="1">IF(L191&gt;0,N191*100/L191,0)</f>
        <v>40.833333333333336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IFERROR(__xludf.DUMMYFUNCTION("IMPORTRANGE(""https://docs.google.com/spreadsheets/d/1QqKyyYR6Q21VydFLVH3TRQUabQu_ym0Zz7PgGX0-kHA/edit?usp=sharing"",""แผน!AC76"")"),4)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0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0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2</v>
      </c>
      <c r="J197" s="1078">
        <f t="shared" si="99"/>
        <v>2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26000</v>
      </c>
      <c r="M198" s="992"/>
      <c r="N198" s="992">
        <f>N199+N200+N201+N202</f>
        <v>10000</v>
      </c>
      <c r="O198" s="992">
        <f ca="1">IF(L198&gt;0,N198*100/L198,0)</f>
        <v>38.46153846153846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IFERROR(__xludf.DUMMYFUNCTION("IMPORTRANGE(""https://docs.google.com/spreadsheets/d/1QqKyyYR6Q21VydFLVH3TRQUabQu_ym0Zz7PgGX0-kHA/edit?usp=sharing"",""แผน!AE76"")"),2000)</f>
        <v>2000</v>
      </c>
      <c r="M199" s="881"/>
      <c r="N199" s="1085">
        <v>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IFERROR(__xludf.DUMMYFUNCTION("IMPORTRANGE(""https://docs.google.com/spreadsheets/d/1QqKyyYR6Q21VydFLVH3TRQUabQu_ym0Zz7PgGX0-kHA/edit?usp=sharing"",""แผน!AF76"")"),16000)</f>
        <v>16000</v>
      </c>
      <c r="M200" s="881"/>
      <c r="N200" s="1085">
        <v>10000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IFERROR(__xludf.DUMMYFUNCTION("IMPORTRANGE(""https://docs.google.com/spreadsheets/d/1QqKyyYR6Q21VydFLVH3TRQUabQu_ym0Zz7PgGX0-kHA/edit?usp=sharing"",""แผน!AG76"")"),8000)</f>
        <v>8000</v>
      </c>
      <c r="M201" s="881"/>
      <c r="N201" s="1085"/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IFERROR(__xludf.DUMMYFUNCTION("IMPORTRANGE(""https://docs.google.com/spreadsheets/d/1QqKyyYR6Q21VydFLVH3TRQUabQu_ym0Zz7PgGX0-kHA/edit?usp=sharing"",""แผน!AH76"")"),0)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IFERROR(__xludf.DUMMYFUNCTION("IMPORTRANGE(""https://docs.google.com/spreadsheets/d/1QqKyyYR6Q21VydFLVH3TRQUabQu_ym0Zz7PgGX0-kHA/edit?usp=sharing"",""แผน!AI76"")"),2)</f>
        <v>2</v>
      </c>
      <c r="J204" s="1012">
        <v>2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2</v>
      </c>
      <c r="J206" s="1012">
        <v>2</v>
      </c>
      <c r="K206" s="998">
        <f t="shared" ref="K206:K208" si="100">IF(I206&gt;0,J206*100/I206,0)</f>
        <v>100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1</v>
      </c>
      <c r="J208" s="1078">
        <f t="shared" si="101"/>
        <v>1</v>
      </c>
      <c r="K208" s="1079">
        <f t="shared" ca="1" si="100"/>
        <v>100</v>
      </c>
      <c r="L208" s="1068"/>
      <c r="M208" s="1068"/>
      <c r="N208" s="1068"/>
      <c r="O208" s="1068"/>
      <c r="P208" s="1068"/>
    </row>
    <row r="209" spans="1:26" ht="19.5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14000</v>
      </c>
      <c r="M209" s="992"/>
      <c r="N209" s="992">
        <f>N210+N211+N212</f>
        <v>9000</v>
      </c>
      <c r="O209" s="992">
        <f ca="1">IF(L209&gt;0,N209*100/L209,0)</f>
        <v>64.285714285714292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IFERROR(__xludf.DUMMYFUNCTION("IMPORTRANGE(""https://docs.google.com/spreadsheets/d/1QqKyyYR6Q21VydFLVH3TRQUabQu_ym0Zz7PgGX0-kHA/edit?usp=sharing"",""แผน!AK76"")"),1000)</f>
        <v>1000</v>
      </c>
      <c r="M210" s="881"/>
      <c r="N210" s="1085">
        <v>1000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IFERROR(__xludf.DUMMYFUNCTION("IMPORTRANGE(""https://docs.google.com/spreadsheets/d/1QqKyyYR6Q21VydFLVH3TRQUabQu_ym0Zz7PgGX0-kHA/edit?usp=sharing"",""แผน!AL76"")"),5000)</f>
        <v>5000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IFERROR(__xludf.DUMMYFUNCTION("IMPORTRANGE(""https://docs.google.com/spreadsheets/d/1QqKyyYR6Q21VydFLVH3TRQUabQu_ym0Zz7PgGX0-kHA/edit?usp=sharing"",""แผน!AM76"")"),8000)</f>
        <v>8000</v>
      </c>
      <c r="M212" s="881"/>
      <c r="N212" s="1085">
        <v>8000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IFERROR(__xludf.DUMMYFUNCTION("IMPORTRANGE(""https://docs.google.com/spreadsheets/d/1QqKyyYR6Q21VydFLVH3TRQUabQu_ym0Zz7PgGX0-kHA/edit?usp=sharing"",""แผน!AN76"")"),1)</f>
        <v>1</v>
      </c>
      <c r="J214" s="1012">
        <v>1</v>
      </c>
      <c r="K214" s="881">
        <f t="shared" ref="K214:K216" ca="1" si="102">IF(I214&gt;0,J214*100/I214,0)</f>
        <v>100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IFERROR(__xludf.DUMMYFUNCTION("IMPORTRANGE(""https://docs.google.com/spreadsheets/d/1QqKyyYR6Q21VydFLVH3TRQUabQu_ym0Zz7PgGX0-kHA/edit?usp=sharing"",""แผน!AN76"")"),1)</f>
        <v>1</v>
      </c>
      <c r="J215" s="1012">
        <v>1</v>
      </c>
      <c r="K215" s="881">
        <f t="shared" ca="1" si="102"/>
        <v>100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20000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18000</v>
      </c>
      <c r="M217" s="992"/>
      <c r="N217" s="992">
        <f>N218+N219+N220</f>
        <v>8390</v>
      </c>
      <c r="O217" s="992">
        <f ca="1">IF(L217&gt;0,N217*100/L217,0)</f>
        <v>46.611111111111114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IFERROR(__xludf.DUMMYFUNCTION("IMPORTRANGE(""https://docs.google.com/spreadsheets/d/1QqKyyYR6Q21VydFLVH3TRQUabQu_ym0Zz7PgGX0-kHA/edit?usp=sharing"",""แผน!AP76"")"),3000)</f>
        <v>3000</v>
      </c>
      <c r="M218" s="881"/>
      <c r="N218" s="1085">
        <v>1030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IFERROR(__xludf.DUMMYFUNCTION("IMPORTRANGE(""https://docs.google.com/spreadsheets/d/1QqKyyYR6Q21VydFLVH3TRQUabQu_ym0Zz7PgGX0-kHA/edit?usp=sharing"",""แผน!AQ76"")"),5000)</f>
        <v>5000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IFERROR(__xludf.DUMMYFUNCTION("IMPORTRANGE(""https://docs.google.com/spreadsheets/d/1QqKyyYR6Q21VydFLVH3TRQUabQu_ym0Zz7PgGX0-kHA/edit?usp=sharing"",""แผน!AR76"")"),10000)</f>
        <v>10000</v>
      </c>
      <c r="M220" s="881"/>
      <c r="N220" s="1085">
        <v>7360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IFERROR(__xludf.DUMMYFUNCTION("IMPORTRANGE(""https://docs.google.com/spreadsheets/d/1QqKyyYR6Q21VydFLVH3TRQUabQu_ym0Zz7PgGX0-kHA/edit?usp=sharing"",""แผน!AT76"")"),20000)</f>
        <v>20000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IFERROR(__xludf.DUMMYFUNCTION("IMPORTRANGE(""https://docs.google.com/spreadsheets/d/1QqKyyYR6Q21VydFLVH3TRQUabQu_ym0Zz7PgGX0-kHA/edit?usp=sharing"",""แผน!AT76"")"),20000)</f>
        <v>20000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IFERROR(__xludf.DUMMYFUNCTION("IMPORTRANGE(""https://docs.google.com/spreadsheets/d/1QqKyyYR6Q21VydFLVH3TRQUabQu_ym0Zz7PgGX0-kHA/edit?usp=sharing"",""แผน!AS76"")"),10)</f>
        <v>10</v>
      </c>
      <c r="J225" s="1012">
        <v>10</v>
      </c>
      <c r="K225" s="998">
        <f t="shared" ca="1" si="104"/>
        <v>100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IFERROR(__xludf.DUMMYFUNCTION("IMPORTRANGE(""https://docs.google.com/spreadsheets/d/1QqKyyYR6Q21VydFLVH3TRQUabQu_ym0Zz7PgGX0-kHA/edit?usp=sharing"",""แผน!AV76"")"),0)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IFERROR(__xludf.DUMMYFUNCTION("IMPORTRANGE(""https://docs.google.com/spreadsheets/d/1QqKyyYR6Q21VydFLVH3TRQUabQu_ym0Zz7PgGX0-kHA/edit?usp=sharing"",""แผน!AW76"")"),0)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IFERROR(__xludf.DUMMYFUNCTION("IMPORTRANGE(""https://docs.google.com/spreadsheets/d/1QqKyyYR6Q21VydFLVH3TRQUabQu_ym0Zz7PgGX0-kHA/edit?usp=sharing"",""แผน!AX76"")"),0)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IFERROR(__xludf.DUMMYFUNCTION("IMPORTRANGE(""https://docs.google.com/spreadsheets/d/1QqKyyYR6Q21VydFLVH3TRQUabQu_ym0Zz7PgGX0-kHA/edit?usp=sharing"",""แผน!AY76"")"),0)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IFERROR(__xludf.DUMMYFUNCTION("IMPORTRANGE(""https://docs.google.com/spreadsheets/d/1QqKyyYR6Q21VydFLVH3TRQUabQu_ym0Zz7PgGX0-kHA/edit?usp=sharing"",""แผน!BE76"")"),0)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IFERROR(__xludf.DUMMYFUNCTION("IMPORTRANGE(""https://docs.google.com/spreadsheets/d/1QqKyyYR6Q21VydFLVH3TRQUabQu_ym0Zz7PgGX0-kHA/edit?usp=sharing"",""แผน!AZ76"")"),0)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IFERROR(__xludf.DUMMYFUNCTION("IMPORTRANGE(""https://docs.google.com/spreadsheets/d/1QqKyyYR6Q21VydFLVH3TRQUabQu_ym0Zz7PgGX0-kHA/edit?usp=sharing"",""แผน!BA76"")"),0)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IFERROR(__xludf.DUMMYFUNCTION("IMPORTRANGE(""https://docs.google.com/spreadsheets/d/1QqKyyYR6Q21VydFLVH3TRQUabQu_ym0Zz7PgGX0-kHA/edit?usp=sharing"",""แผน!BB76"")"),0)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IFERROR(__xludf.DUMMYFUNCTION("IMPORTRANGE(""https://docs.google.com/spreadsheets/d/1QqKyyYR6Q21VydFLVH3TRQUabQu_ym0Zz7PgGX0-kHA/edit?usp=sharing"",""แผน!BC76"")"),0)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IFERROR(__xludf.DUMMYFUNCTION("IMPORTRANGE(""https://docs.google.com/spreadsheets/d/1QqKyyYR6Q21VydFLVH3TRQUabQu_ym0Zz7PgGX0-kHA/edit?usp=sharing"",""แผน!BF76"")"),"")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24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28800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28800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28800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IFERROR(__xludf.DUMMYFUNCTION("IMPORTRANGE(""https://docs.google.com/spreadsheets/d/1MeEWN-I1oV_STSDYn1IFDPWt_1FKiwhDph83XaGc0o0/edit?usp=sharing"",""งบพรบ!CY76"")"),28800)</f>
        <v>28800</v>
      </c>
      <c r="M266" s="887">
        <f ca="1">IFERROR(__xludf.DUMMYFUNCTION("IMPORTRANGE(""https://docs.google.com/spreadsheets/d/1MeEWN-I1oV_STSDYn1IFDPWt_1FKiwhDph83XaGc0o0/edit?usp=sharing"",""งบพรบ!DD76"")"),0)</f>
        <v>0</v>
      </c>
      <c r="N266" s="887">
        <f ca="1">IFERROR(__xludf.DUMMYFUNCTION("IMPORTRANGE(""https://docs.google.com/spreadsheets/d/1MeEWN-I1oV_STSDYn1IFDPWt_1FKiwhDph83XaGc0o0/edit?usp=sharing"",""งบพรบ!DF76"")"),0)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IFERROR(__xludf.DUMMYFUNCTION("IMPORTRANGE(""https://docs.google.com/spreadsheets/d/1MeEWN-I1oV_STSDYn1IFDPWt_1FKiwhDph83XaGc0o0/edit?usp=sharing"",""งบพรบ!DB76"")"),0)</f>
        <v>0</v>
      </c>
      <c r="M269" s="887">
        <f ca="1">IFERROR(__xludf.DUMMYFUNCTION("IMPORTRANGE(""https://docs.google.com/spreadsheets/d/1MeEWN-I1oV_STSDYn1IFDPWt_1FKiwhDph83XaGc0o0/edit?usp=sharing"",""งบพรบ!DE76"")"),0)</f>
        <v>0</v>
      </c>
      <c r="N269" s="887">
        <f ca="1">IFERROR(__xludf.DUMMYFUNCTION("IMPORTRANGE(""https://docs.google.com/spreadsheets/d/1MeEWN-I1oV_STSDYn1IFDPWt_1FKiwhDph83XaGc0o0/edit?usp=sharing"",""งบพรบ!DG76"")"),0)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IFERROR(__xludf.DUMMYFUNCTION("IMPORTRANGE(""https://docs.google.com/spreadsheets/d/1QqKyyYR6Q21VydFLVH3TRQUabQu_ym0Zz7PgGX0-kHA/edit?usp=sharing"",""แผน!EA76"")"),24)</f>
        <v>24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5</v>
      </c>
      <c r="J275" s="1159">
        <f t="shared" ca="1" si="122"/>
        <v>5</v>
      </c>
      <c r="K275" s="1160">
        <f t="shared" ref="K275:K276" ca="1" si="123">IF(I275&gt;0,J275*100/I275,0)</f>
        <v>100</v>
      </c>
      <c r="L275" s="1161"/>
      <c r="M275" s="1161"/>
      <c r="N275" s="1161"/>
      <c r="O275" s="1161"/>
      <c r="P275" s="1161"/>
    </row>
    <row r="276" spans="1:26" ht="19.5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50</v>
      </c>
      <c r="J276" s="1493">
        <f t="shared" si="124"/>
        <v>50</v>
      </c>
      <c r="K276" s="1161">
        <f t="shared" ca="1" si="123"/>
        <v>100</v>
      </c>
      <c r="L276" s="1161"/>
      <c r="M276" s="1161"/>
      <c r="N276" s="1161"/>
      <c r="O276" s="1161"/>
      <c r="P276" s="1161"/>
    </row>
    <row r="277" spans="1:26" ht="19.5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22630</v>
      </c>
      <c r="M277" s="992">
        <f t="shared" ca="1" si="125"/>
        <v>22630</v>
      </c>
      <c r="N277" s="992">
        <f t="shared" ca="1" si="125"/>
        <v>3520</v>
      </c>
      <c r="O277" s="992">
        <f t="shared" ref="O277:O285" ca="1" si="126">IF(L277&gt;0,N277*100/L277,0)</f>
        <v>15.554573574900575</v>
      </c>
      <c r="P277" s="992">
        <f t="shared" ref="P277:P285" ca="1" si="127">IF(M277&gt;0,N277*100/M277,0)</f>
        <v>15.554573574900575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22630</v>
      </c>
      <c r="M279" s="887">
        <f t="shared" ca="1" si="128"/>
        <v>22630</v>
      </c>
      <c r="N279" s="887">
        <f t="shared" ca="1" si="128"/>
        <v>3520</v>
      </c>
      <c r="O279" s="887">
        <f t="shared" ca="1" si="126"/>
        <v>15.554573574900575</v>
      </c>
      <c r="P279" s="887">
        <f t="shared" ca="1" si="127"/>
        <v>15.554573574900575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22630</v>
      </c>
      <c r="M280" s="881">
        <f t="shared" ca="1" si="129"/>
        <v>22630</v>
      </c>
      <c r="N280" s="881">
        <f t="shared" ca="1" si="129"/>
        <v>3520</v>
      </c>
      <c r="O280" s="881">
        <f t="shared" ca="1" si="126"/>
        <v>15.554573574900575</v>
      </c>
      <c r="P280" s="881">
        <f t="shared" ca="1" si="127"/>
        <v>15.554573574900575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IFERROR(__xludf.DUMMYFUNCTION("IMPORTRANGE(""https://docs.google.com/spreadsheets/d/1MeEWN-I1oV_STSDYn1IFDPWt_1FKiwhDph83XaGc0o0/edit?usp=sharing"",""งบพรบ!DI76"")"),22630)</f>
        <v>22630</v>
      </c>
      <c r="M282" s="887">
        <f ca="1">IFERROR(__xludf.DUMMYFUNCTION("IMPORTRANGE(""https://docs.google.com/spreadsheets/d/1MeEWN-I1oV_STSDYn1IFDPWt_1FKiwhDph83XaGc0o0/edit?usp=sharing"",""งบพรบ!DN76"")"),22630)</f>
        <v>22630</v>
      </c>
      <c r="N282" s="887">
        <f ca="1">IFERROR(__xludf.DUMMYFUNCTION("IMPORTRANGE(""https://docs.google.com/spreadsheets/d/1MeEWN-I1oV_STSDYn1IFDPWt_1FKiwhDph83XaGc0o0/edit?usp=sharing"",""งบพรบ!DP76"")"),3520)</f>
        <v>3520</v>
      </c>
      <c r="O282" s="887">
        <f t="shared" ca="1" si="126"/>
        <v>15.554573574900575</v>
      </c>
      <c r="P282" s="887">
        <f t="shared" ca="1" si="127"/>
        <v>15.554573574900575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IFERROR(__xludf.DUMMYFUNCTION("IMPORTRANGE(""https://docs.google.com/spreadsheets/d/1MeEWN-I1oV_STSDYn1IFDPWt_1FKiwhDph83XaGc0o0/edit?usp=sharing"",""งบพรบ!DL76"")"),0)</f>
        <v>0</v>
      </c>
      <c r="M285" s="887">
        <f ca="1">IFERROR(__xludf.DUMMYFUNCTION("IMPORTRANGE(""https://docs.google.com/spreadsheets/d/1MeEWN-I1oV_STSDYn1IFDPWt_1FKiwhDph83XaGc0o0/edit?usp=sharing"",""งบพรบ!DO76"")"),0)</f>
        <v>0</v>
      </c>
      <c r="N285" s="887">
        <f ca="1">IFERROR(__xludf.DUMMYFUNCTION("IMPORTRANGE(""https://docs.google.com/spreadsheets/d/1MeEWN-I1oV_STSDYn1IFDPWt_1FKiwhDph83XaGc0o0/edit?usp=sharing"",""งบพรบ!DQ76"")"),0)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IFERROR(__xludf.DUMMYFUNCTION("IMPORTRANGE(""https://docs.google.com/spreadsheets/d/1QqKyyYR6Q21VydFLVH3TRQUabQu_ym0Zz7PgGX0-kHA/edit?usp=sharing"",""แผน!EC76"")"),50)</f>
        <v>50</v>
      </c>
      <c r="J287" s="1012">
        <v>50</v>
      </c>
      <c r="K287" s="998">
        <f t="shared" ref="K287:K288" ca="1" si="131">IF(I287&gt;0,J287*100/I287,0)</f>
        <v>100</v>
      </c>
      <c r="L287" s="998"/>
      <c r="M287" s="998"/>
      <c r="N287" s="998"/>
      <c r="O287" s="998"/>
      <c r="P287" s="998"/>
    </row>
    <row r="288" spans="1:26" ht="19.5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IFERROR(__xludf.DUMMYFUNCTION("IMPORTRANGE(""https://docs.google.com/spreadsheets/d/1QqKyyYR6Q21VydFLVH3TRQUabQu_ym0Zz7PgGX0-kHA/edit?usp=sharing"",""แผน!EB76"")"),5)</f>
        <v>5</v>
      </c>
      <c r="J288" s="1019">
        <f ca="1">IF(AND(J291&gt;=I288,J294&gt;=I288),J294,0)</f>
        <v>5</v>
      </c>
      <c r="K288" s="1162">
        <f t="shared" ca="1" si="131"/>
        <v>100</v>
      </c>
      <c r="L288" s="998"/>
      <c r="M288" s="998"/>
      <c r="N288" s="998"/>
      <c r="O288" s="998"/>
      <c r="P288" s="998"/>
    </row>
    <row r="289" spans="1:26" ht="19.5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IFERROR(__xludf.DUMMYFUNCTION("IMPORTRANGE(""https://docs.google.com/spreadsheets/d/1QqKyyYR6Q21VydFLVH3TRQUabQu_ym0Zz7PgGX0-kHA/edit?usp=sharing"",""แผน!EB76"")"),5)</f>
        <v>5</v>
      </c>
      <c r="J290" s="1012">
        <v>5</v>
      </c>
      <c r="K290" s="998">
        <f t="shared" ref="K290:K291" ca="1" si="132">IF(I290&gt;0,J290*100/I290,0)</f>
        <v>100</v>
      </c>
      <c r="L290" s="998"/>
      <c r="M290" s="998"/>
      <c r="N290" s="998"/>
      <c r="O290" s="998"/>
      <c r="P290" s="998"/>
    </row>
    <row r="291" spans="1:26" ht="19.5">
      <c r="A291" s="1002"/>
      <c r="B291" s="1003"/>
      <c r="C291" s="1003"/>
      <c r="D291" s="1010"/>
      <c r="E291" s="1014" t="s">
        <v>133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IFERROR(__xludf.DUMMYFUNCTION("IMPORTRANGE(""https://docs.google.com/spreadsheets/d/1QqKyyYR6Q21VydFLVH3TRQUabQu_ym0Zz7PgGX0-kHA/edit?usp=sharing"",""แผน!EB76"")"),5)</f>
        <v>5</v>
      </c>
      <c r="J291" s="1012">
        <v>5</v>
      </c>
      <c r="K291" s="998">
        <f t="shared" ca="1" si="132"/>
        <v>100</v>
      </c>
      <c r="L291" s="998"/>
      <c r="M291" s="998"/>
      <c r="N291" s="998"/>
      <c r="O291" s="998"/>
      <c r="P291" s="998"/>
    </row>
    <row r="292" spans="1:26" ht="19.5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IFERROR(__xludf.DUMMYFUNCTION("IMPORTRANGE(""https://docs.google.com/spreadsheets/d/1QqKyyYR6Q21VydFLVH3TRQUabQu_ym0Zz7PgGX0-kHA/edit?usp=sharing"",""แผน!EB76"")"),5)</f>
        <v>5</v>
      </c>
      <c r="J293" s="1012">
        <v>5</v>
      </c>
      <c r="K293" s="998">
        <f t="shared" ref="K293:K294" ca="1" si="133">IF(I293&gt;0,J293*100/I293,0)</f>
        <v>100</v>
      </c>
      <c r="L293" s="998"/>
      <c r="M293" s="998"/>
      <c r="N293" s="998"/>
      <c r="O293" s="998"/>
      <c r="P293" s="998"/>
    </row>
    <row r="294" spans="1:26" ht="19.5">
      <c r="A294" s="1133"/>
      <c r="B294" s="1134"/>
      <c r="C294" s="1134"/>
      <c r="D294" s="1136"/>
      <c r="E294" s="1169" t="s">
        <v>136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IFERROR(__xludf.DUMMYFUNCTION("IMPORTRANGE(""https://docs.google.com/spreadsheets/d/1QqKyyYR6Q21VydFLVH3TRQUabQu_ym0Zz7PgGX0-kHA/edit?usp=sharing"",""แผน!EB76"")"),5)</f>
        <v>5</v>
      </c>
      <c r="J294" s="1171">
        <v>5</v>
      </c>
      <c r="K294" s="1139">
        <f t="shared" ca="1" si="133"/>
        <v>100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20</v>
      </c>
      <c r="J297" s="1190">
        <f t="shared" si="134"/>
        <v>20</v>
      </c>
      <c r="K297" s="1191">
        <f ca="1">IF(I297&gt;0,J297*100/I297,0)</f>
        <v>100</v>
      </c>
      <c r="L297" s="1192"/>
      <c r="M297" s="1192"/>
      <c r="N297" s="1192"/>
      <c r="O297" s="1192"/>
      <c r="P297" s="1192"/>
    </row>
    <row r="298" spans="1:26" ht="19.5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82400</v>
      </c>
      <c r="M298" s="992">
        <f t="shared" ca="1" si="135"/>
        <v>64400</v>
      </c>
      <c r="N298" s="992">
        <f t="shared" ca="1" si="135"/>
        <v>33300</v>
      </c>
      <c r="O298" s="992">
        <f t="shared" ref="O298:O306" ca="1" si="136">IF(L298&gt;0,N298*100/L298,0)</f>
        <v>40.412621359223301</v>
      </c>
      <c r="P298" s="992">
        <f t="shared" ref="P298:P306" ca="1" si="137">IF(M298&gt;0,N298*100/M298,0)</f>
        <v>51.70807453416149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82400</v>
      </c>
      <c r="M300" s="887">
        <f t="shared" ca="1" si="138"/>
        <v>64400</v>
      </c>
      <c r="N300" s="887">
        <f t="shared" ca="1" si="138"/>
        <v>33300</v>
      </c>
      <c r="O300" s="887">
        <f t="shared" ca="1" si="136"/>
        <v>40.412621359223301</v>
      </c>
      <c r="P300" s="887">
        <f t="shared" ca="1" si="137"/>
        <v>51.70807453416149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82400</v>
      </c>
      <c r="M301" s="881">
        <f t="shared" ca="1" si="139"/>
        <v>64400</v>
      </c>
      <c r="N301" s="881">
        <f t="shared" ca="1" si="139"/>
        <v>33300</v>
      </c>
      <c r="O301" s="881">
        <f t="shared" ca="1" si="136"/>
        <v>40.412621359223301</v>
      </c>
      <c r="P301" s="881">
        <f t="shared" ca="1" si="137"/>
        <v>51.70807453416149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IFERROR(__xludf.DUMMYFUNCTION("IMPORTRANGE(""https://docs.google.com/spreadsheets/d/1MeEWN-I1oV_STSDYn1IFDPWt_1FKiwhDph83XaGc0o0/edit?usp=sharing"",""งบพรบ!DS76"")"),82400)</f>
        <v>82400</v>
      </c>
      <c r="M303" s="887">
        <f ca="1">IFERROR(__xludf.DUMMYFUNCTION("IMPORTRANGE(""https://docs.google.com/spreadsheets/d/1MeEWN-I1oV_STSDYn1IFDPWt_1FKiwhDph83XaGc0o0/edit?usp=sharing"",""งบพรบ!DX76"")"),64400)</f>
        <v>64400</v>
      </c>
      <c r="N303" s="887">
        <f ca="1">IFERROR(__xludf.DUMMYFUNCTION("IMPORTRANGE(""https://docs.google.com/spreadsheets/d/1MeEWN-I1oV_STSDYn1IFDPWt_1FKiwhDph83XaGc0o0/edit?usp=sharing"",""งบพรบ!DZ76"")"),33300)</f>
        <v>33300</v>
      </c>
      <c r="O303" s="887">
        <f t="shared" ca="1" si="136"/>
        <v>40.412621359223301</v>
      </c>
      <c r="P303" s="887">
        <f t="shared" ca="1" si="137"/>
        <v>51.70807453416149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IFERROR(__xludf.DUMMYFUNCTION("IMPORTRANGE(""https://docs.google.com/spreadsheets/d/1MeEWN-I1oV_STSDYn1IFDPWt_1FKiwhDph83XaGc0o0/edit?usp=sharing"",""งบพรบ!DV76"")"),0)</f>
        <v>0</v>
      </c>
      <c r="M306" s="887">
        <f ca="1">IFERROR(__xludf.DUMMYFUNCTION("IMPORTRANGE(""https://docs.google.com/spreadsheets/d/1MeEWN-I1oV_STSDYn1IFDPWt_1FKiwhDph83XaGc0o0/edit?usp=sharing"",""งบพรบ!DY76"")"),0)</f>
        <v>0</v>
      </c>
      <c r="N306" s="887">
        <f ca="1">IFERROR(__xludf.DUMMYFUNCTION("IMPORTRANGE(""https://docs.google.com/spreadsheets/d/1MeEWN-I1oV_STSDYn1IFDPWt_1FKiwhDph83XaGc0o0/edit?usp=sharing"",""งบพรบ!EA76"")"),0)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1</v>
      </c>
      <c r="K308" s="881"/>
      <c r="L308" s="881"/>
      <c r="M308" s="881"/>
      <c r="N308" s="881"/>
      <c r="O308" s="881"/>
      <c r="P308" s="881"/>
    </row>
    <row r="309" spans="1:26" ht="18.75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IFERROR(__xludf.DUMMYFUNCTION("IMPORTRANGE(""https://docs.google.com/spreadsheets/d/1QqKyyYR6Q21VydFLVH3TRQUabQu_ym0Zz7PgGX0-kHA/edit?usp=sharing"",""แผน!ED76"")"),20)</f>
        <v>20</v>
      </c>
      <c r="J309" s="1012">
        <v>20</v>
      </c>
      <c r="K309" s="881">
        <f t="shared" ref="K309:K312" ca="1" si="141">IF(I309&gt;0,J309*100/I309,0)</f>
        <v>100</v>
      </c>
      <c r="L309" s="881"/>
      <c r="M309" s="881"/>
      <c r="N309" s="881"/>
      <c r="O309" s="881"/>
      <c r="P309" s="881"/>
    </row>
    <row r="310" spans="1:26" ht="18.75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IFERROR(__xludf.DUMMYFUNCTION("IMPORTRANGE(""https://docs.google.com/spreadsheets/d/1QqKyyYR6Q21VydFLVH3TRQUabQu_ym0Zz7PgGX0-kHA/edit?usp=sharing"",""แผน!ED76"")"),20)</f>
        <v>20</v>
      </c>
      <c r="J310" s="1012">
        <v>0</v>
      </c>
      <c r="K310" s="881">
        <f t="shared" ca="1" si="141"/>
        <v>0</v>
      </c>
      <c r="L310" s="881"/>
      <c r="M310" s="881"/>
      <c r="N310" s="881"/>
      <c r="O310" s="881"/>
      <c r="P310" s="881"/>
    </row>
    <row r="311" spans="1:26" ht="18.75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IFERROR(__xludf.DUMMYFUNCTION("IMPORTRANGE(""https://docs.google.com/spreadsheets/d/1QqKyyYR6Q21VydFLVH3TRQUabQu_ym0Zz7PgGX0-kHA/edit?usp=sharing"",""แผน!ED76"")"),20)</f>
        <v>20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IFERROR(__xludf.DUMMYFUNCTION("IMPORTRANGE(""https://docs.google.com/spreadsheets/d/1QqKyyYR6Q21VydFLVH3TRQUabQu_ym0Zz7PgGX0-kHA/edit?usp=sharing"",""แผน!EE76"")"),4)</f>
        <v>4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1</v>
      </c>
      <c r="J314" s="1190">
        <f t="shared" si="142"/>
        <v>1</v>
      </c>
      <c r="K314" s="1191">
        <f ca="1">IF(I314&gt;0,J314*100/I314,0)</f>
        <v>100</v>
      </c>
      <c r="L314" s="1192"/>
      <c r="M314" s="1192"/>
      <c r="N314" s="1192"/>
      <c r="O314" s="1192"/>
      <c r="P314" s="1192"/>
    </row>
    <row r="315" spans="1:26" ht="19.5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153000</v>
      </c>
      <c r="M315" s="992">
        <f t="shared" ca="1" si="143"/>
        <v>114500</v>
      </c>
      <c r="N315" s="992">
        <f t="shared" ca="1" si="143"/>
        <v>83119.199999999997</v>
      </c>
      <c r="O315" s="992">
        <f t="shared" ref="O315:O323" ca="1" si="144">IF(L315&gt;0,N315*100/L315,0)</f>
        <v>54.326274509803923</v>
      </c>
      <c r="P315" s="992">
        <f t="shared" ref="P315:P323" ca="1" si="145">IF(M315&gt;0,N315*100/M315,0)</f>
        <v>72.593187772925759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153000</v>
      </c>
      <c r="M317" s="887">
        <f t="shared" ca="1" si="146"/>
        <v>114500</v>
      </c>
      <c r="N317" s="887">
        <f t="shared" ca="1" si="146"/>
        <v>83119.199999999997</v>
      </c>
      <c r="O317" s="887">
        <f t="shared" ca="1" si="144"/>
        <v>54.326274509803923</v>
      </c>
      <c r="P317" s="887">
        <f t="shared" ca="1" si="145"/>
        <v>72.593187772925759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153000</v>
      </c>
      <c r="M318" s="881">
        <f t="shared" ca="1" si="147"/>
        <v>114500</v>
      </c>
      <c r="N318" s="881">
        <f t="shared" ca="1" si="147"/>
        <v>83119.199999999997</v>
      </c>
      <c r="O318" s="881">
        <f t="shared" ca="1" si="144"/>
        <v>54.326274509803923</v>
      </c>
      <c r="P318" s="881">
        <f t="shared" ca="1" si="145"/>
        <v>72.593187772925759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IFERROR(__xludf.DUMMYFUNCTION("IMPORTRANGE(""https://docs.google.com/spreadsheets/d/1MeEWN-I1oV_STSDYn1IFDPWt_1FKiwhDph83XaGc0o0/edit?usp=sharing"",""งบพรบ!EC76"")"),153000)</f>
        <v>153000</v>
      </c>
      <c r="M320" s="887">
        <f ca="1">IFERROR(__xludf.DUMMYFUNCTION("IMPORTRANGE(""https://docs.google.com/spreadsheets/d/1MeEWN-I1oV_STSDYn1IFDPWt_1FKiwhDph83XaGc0o0/edit?usp=sharing"",""งบพรบ!EH76"")"),114500)</f>
        <v>114500</v>
      </c>
      <c r="N320" s="887">
        <f ca="1">IFERROR(__xludf.DUMMYFUNCTION("IMPORTRANGE(""https://docs.google.com/spreadsheets/d/1MeEWN-I1oV_STSDYn1IFDPWt_1FKiwhDph83XaGc0o0/edit?usp=sharing"",""งบพรบ!EJ76"")"),83119.2)</f>
        <v>83119.199999999997</v>
      </c>
      <c r="O320" s="887">
        <f t="shared" ca="1" si="144"/>
        <v>54.326274509803923</v>
      </c>
      <c r="P320" s="887">
        <f t="shared" ca="1" si="145"/>
        <v>72.593187772925759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IFERROR(__xludf.DUMMYFUNCTION("IMPORTRANGE(""https://docs.google.com/spreadsheets/d/1MeEWN-I1oV_STSDYn1IFDPWt_1FKiwhDph83XaGc0o0/edit?usp=sharing"",""งบพรบ!EF76"")"),0)</f>
        <v>0</v>
      </c>
      <c r="M323" s="887">
        <f ca="1">IFERROR(__xludf.DUMMYFUNCTION("IMPORTRANGE(""https://docs.google.com/spreadsheets/d/1MeEWN-I1oV_STSDYn1IFDPWt_1FKiwhDph83XaGc0o0/edit?usp=sharing"",""งบพรบ!EI76"")"),0)</f>
        <v>0</v>
      </c>
      <c r="N323" s="887">
        <f ca="1">IFERROR(__xludf.DUMMYFUNCTION("IMPORTRANGE(""https://docs.google.com/spreadsheets/d/1MeEWN-I1oV_STSDYn1IFDPWt_1FKiwhDph83XaGc0o0/edit?usp=sharing"",""งบพรบ!EK76"")"),0)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IFERROR(__xludf.DUMMYFUNCTION("IMPORTRANGE(""https://docs.google.com/spreadsheets/d/1QqKyyYR6Q21VydFLVH3TRQUabQu_ym0Zz7PgGX0-kHA/edit?usp=sharing"",""แผน!EF76"")"),1)</f>
        <v>1</v>
      </c>
      <c r="J325" s="1012">
        <v>1</v>
      </c>
      <c r="K325" s="881">
        <f ca="1">IF(I325&gt;0,J325*100/I325,0)</f>
        <v>100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IFERROR(__xludf.DUMMYFUNCTION("IMPORTRANGE(""https://docs.google.com/spreadsheets/d/1QqKyyYR6Q21VydFLVH3TRQUabQu_ym0Zz7PgGX0-kHA/edit?usp=sharing"",""แผน!EG76"")"),3100)</f>
        <v>3100</v>
      </c>
      <c r="J327" s="1190">
        <f ca="1">J338+J341+J342+J343</f>
        <v>2609</v>
      </c>
      <c r="K327" s="1191">
        <f ca="1">IF(I327&gt;0,J327*100/I327,0)</f>
        <v>84.161290322580641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173000</v>
      </c>
      <c r="M328" s="992">
        <f t="shared" ca="1" si="149"/>
        <v>132250</v>
      </c>
      <c r="N328" s="992">
        <f t="shared" ca="1" si="149"/>
        <v>75415</v>
      </c>
      <c r="O328" s="992">
        <f t="shared" ref="O328:O336" ca="1" si="150">IF(L328&gt;0,N328*100/L328,0)</f>
        <v>43.592485549132945</v>
      </c>
      <c r="P328" s="992">
        <f t="shared" ref="P328:P336" ca="1" si="151">IF(M328&gt;0,N328*100/M328,0)</f>
        <v>57.024574669187146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173000</v>
      </c>
      <c r="M330" s="887">
        <f t="shared" ca="1" si="152"/>
        <v>132250</v>
      </c>
      <c r="N330" s="887">
        <f t="shared" ca="1" si="152"/>
        <v>75415</v>
      </c>
      <c r="O330" s="887">
        <f t="shared" ca="1" si="150"/>
        <v>43.592485549132945</v>
      </c>
      <c r="P330" s="887">
        <f t="shared" ca="1" si="151"/>
        <v>57.024574669187146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173000</v>
      </c>
      <c r="M331" s="881">
        <f t="shared" ca="1" si="153"/>
        <v>132250</v>
      </c>
      <c r="N331" s="881">
        <f t="shared" ca="1" si="153"/>
        <v>75415</v>
      </c>
      <c r="O331" s="881">
        <f t="shared" ca="1" si="150"/>
        <v>43.592485549132945</v>
      </c>
      <c r="P331" s="881">
        <f t="shared" ca="1" si="151"/>
        <v>57.024574669187146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IFERROR(__xludf.DUMMYFUNCTION("IMPORTRANGE(""https://docs.google.com/spreadsheets/d/1MeEWN-I1oV_STSDYn1IFDPWt_1FKiwhDph83XaGc0o0/edit?usp=sharing"",""งบพรบ!EM76"")"),173000)</f>
        <v>173000</v>
      </c>
      <c r="M333" s="887">
        <f ca="1">IFERROR(__xludf.DUMMYFUNCTION("IMPORTRANGE(""https://docs.google.com/spreadsheets/d/1MeEWN-I1oV_STSDYn1IFDPWt_1FKiwhDph83XaGc0o0/edit?usp=sharing"",""งบพรบ!ER76"")"),132250)</f>
        <v>132250</v>
      </c>
      <c r="N333" s="887">
        <f ca="1">IFERROR(__xludf.DUMMYFUNCTION("IMPORTRANGE(""https://docs.google.com/spreadsheets/d/1MeEWN-I1oV_STSDYn1IFDPWt_1FKiwhDph83XaGc0o0/edit?usp=sharing"",""งบพรบ!ET76"")"),75415)</f>
        <v>75415</v>
      </c>
      <c r="O333" s="887">
        <f t="shared" ca="1" si="150"/>
        <v>43.592485549132945</v>
      </c>
      <c r="P333" s="887">
        <f t="shared" ca="1" si="151"/>
        <v>57.024574669187146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IFERROR(__xludf.DUMMYFUNCTION("IMPORTRANGE(""https://docs.google.com/spreadsheets/d/1MeEWN-I1oV_STSDYn1IFDPWt_1FKiwhDph83XaGc0o0/edit?usp=sharing"",""งบพรบ!EP76"")"),0)</f>
        <v>0</v>
      </c>
      <c r="M336" s="887">
        <f ca="1">IFERROR(__xludf.DUMMYFUNCTION("IMPORTRANGE(""https://docs.google.com/spreadsheets/d/1MeEWN-I1oV_STSDYn1IFDPWt_1FKiwhDph83XaGc0o0/edit?usp=sharing"",""งบพรบ!ES76"")"),0)</f>
        <v>0</v>
      </c>
      <c r="N336" s="887">
        <f ca="1">IFERROR(__xludf.DUMMYFUNCTION("IMPORTRANGE(""https://docs.google.com/spreadsheets/d/1MeEWN-I1oV_STSDYn1IFDPWt_1FKiwhDph83XaGc0o0/edit?usp=sharing"",""งบพรบ!EU76"")"),0)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IFERROR(__xludf.DUMMYFUNCTION("IMPORTRANGE(""https://docs.google.com/spreadsheets/d/1QqKyyYR6Q21VydFLVH3TRQUabQu_ym0Zz7PgGX0-kHA/edit?usp=sharing"",""แผน!EG76"")"),3100)</f>
        <v>3100</v>
      </c>
      <c r="J338" s="880">
        <f ca="1">IFERROR(__xludf.DUMMYFUNCTION("IMPORTRANGE(""https://docs.google.com/spreadsheets/d/1kVcqe37tkHyjCSG3S0O1AXqVkqjo8mSIZil3BcpIysc/edit?usp=sharing"",""ศูนย์!D76"")"),2546)</f>
        <v>2546</v>
      </c>
      <c r="K338" s="881">
        <f ca="1">IF(I338&gt;0,J338*100/I338,0)</f>
        <v>82.129032258064512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IFERROR(__xludf.DUMMYFUNCTION("IMPORTRANGE(""https://docs.google.com/spreadsheets/d/1QqKyyYR6Q21VydFLVH3TRQUabQu_ym0Zz7PgGX0-kHA/edit?usp=sharing"",""แผน!EH76"")"),5)</f>
        <v>5</v>
      </c>
      <c r="J340" s="880">
        <f ca="1">IFERROR(__xludf.DUMMYFUNCTION("IMPORTRANGE(""https://docs.google.com/spreadsheets/d/1kVcqe37tkHyjCSG3S0O1AXqVkqjo8mSIZil3BcpIysc/edit?usp=sharing"",""ศูนย์!E76"")"),1)</f>
        <v>1</v>
      </c>
      <c r="K340" s="881">
        <f ca="1">IF(I340&gt;0,J340*100/I340,0)</f>
        <v>20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IFERROR(__xludf.DUMMYFUNCTION("IMPORTRANGE(""https://docs.google.com/spreadsheets/d/1kVcqe37tkHyjCSG3S0O1AXqVkqjo8mSIZil3BcpIysc/edit?usp=sharing"",""ศูนย์!F76"")"),63)</f>
        <v>63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IFERROR(__xludf.DUMMYFUNCTION("IMPORTRANGE(""https://docs.google.com/spreadsheets/d/1kVcqe37tkHyjCSG3S0O1AXqVkqjo8mSIZil3BcpIysc/edit?usp=sharing"",""ศูนย์!G76"")"),0)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IFERROR(__xludf.DUMMYFUNCTION("IMPORTRANGE(""https://docs.google.com/spreadsheets/d/1kVcqe37tkHyjCSG3S0O1AXqVkqjo8mSIZil3BcpIysc/edit?usp=sharing"",""ศูนย์!H76"")"),0)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768060</v>
      </c>
      <c r="M345" s="992">
        <f t="shared" ca="1" si="155"/>
        <v>786050</v>
      </c>
      <c r="N345" s="992">
        <f t="shared" ca="1" si="155"/>
        <v>644427.19999999995</v>
      </c>
      <c r="O345" s="992">
        <f t="shared" ref="O345:O353" ca="1" si="156">IF(L345&gt;0,N345*100/L345,0)</f>
        <v>83.903236726297422</v>
      </c>
      <c r="P345" s="992">
        <f t="shared" ref="P345:P353" ca="1" si="157">IF(M345&gt;0,N345*100/M345,0)</f>
        <v>81.982978182049479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768060</v>
      </c>
      <c r="M347" s="887">
        <f t="shared" ca="1" si="158"/>
        <v>786050</v>
      </c>
      <c r="N347" s="887">
        <f t="shared" ca="1" si="158"/>
        <v>644427.19999999995</v>
      </c>
      <c r="O347" s="887">
        <f t="shared" ca="1" si="156"/>
        <v>83.903236726297422</v>
      </c>
      <c r="P347" s="887">
        <f t="shared" ca="1" si="157"/>
        <v>81.982978182049479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566060</v>
      </c>
      <c r="M348" s="881">
        <f t="shared" ca="1" si="159"/>
        <v>584050</v>
      </c>
      <c r="N348" s="881">
        <f t="shared" ca="1" si="159"/>
        <v>442427.2</v>
      </c>
      <c r="O348" s="881">
        <f t="shared" ca="1" si="156"/>
        <v>78.159064410133197</v>
      </c>
      <c r="P348" s="881">
        <f t="shared" ca="1" si="157"/>
        <v>75.751596609879286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IFERROR(__xludf.DUMMYFUNCTION("IMPORTRANGE(""https://docs.google.com/spreadsheets/d/1MeEWN-I1oV_STSDYn1IFDPWt_1FKiwhDph83XaGc0o0/edit?usp=sharing"",""งบพรบ!EW76"")"),566060)</f>
        <v>566060</v>
      </c>
      <c r="M350" s="887">
        <f ca="1">IFERROR(__xludf.DUMMYFUNCTION("IMPORTRANGE(""https://docs.google.com/spreadsheets/d/1MeEWN-I1oV_STSDYn1IFDPWt_1FKiwhDph83XaGc0o0/edit?usp=sharing"",""งบพรบ!FB76"")"),584050)</f>
        <v>584050</v>
      </c>
      <c r="N350" s="887">
        <f ca="1">IFERROR(__xludf.DUMMYFUNCTION("IMPORTRANGE(""https://docs.google.com/spreadsheets/d/1MeEWN-I1oV_STSDYn1IFDPWt_1FKiwhDph83XaGc0o0/edit?usp=sharing"",""งบพรบ!FD76"")"),442427.2)</f>
        <v>442427.2</v>
      </c>
      <c r="O350" s="887">
        <f t="shared" ca="1" si="156"/>
        <v>78.159064410133197</v>
      </c>
      <c r="P350" s="887">
        <f t="shared" ca="1" si="157"/>
        <v>75.751596609879286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202000</v>
      </c>
      <c r="M351" s="881">
        <f t="shared" ca="1" si="160"/>
        <v>202000</v>
      </c>
      <c r="N351" s="881">
        <f t="shared" ca="1" si="160"/>
        <v>202000</v>
      </c>
      <c r="O351" s="881">
        <f t="shared" ca="1" si="156"/>
        <v>100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IFERROR(__xludf.DUMMYFUNCTION("IMPORTRANGE(""https://docs.google.com/spreadsheets/d/1MeEWN-I1oV_STSDYn1IFDPWt_1FKiwhDph83XaGc0o0/edit?usp=sharing"",""งบพรบ!EZ76"")"),202000)</f>
        <v>202000</v>
      </c>
      <c r="M353" s="887">
        <f ca="1">IFERROR(__xludf.DUMMYFUNCTION("IMPORTRANGE(""https://docs.google.com/spreadsheets/d/1MeEWN-I1oV_STSDYn1IFDPWt_1FKiwhDph83XaGc0o0/edit?usp=sharing"",""งบพรบ!FC76"")"),202000)</f>
        <v>202000</v>
      </c>
      <c r="N353" s="887">
        <f ca="1">IFERROR(__xludf.DUMMYFUNCTION("IMPORTRANGE(""https://docs.google.com/spreadsheets/d/1MeEWN-I1oV_STSDYn1IFDPWt_1FKiwhDph83XaGc0o0/edit?usp=sharing"",""งบพรบ!FE76"")"),202000)</f>
        <v>202000</v>
      </c>
      <c r="O353" s="887">
        <f t="shared" ca="1" si="156"/>
        <v>100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IFERROR(__xludf.DUMMYFUNCTION("IMPORTRANGE(""https://docs.google.com/spreadsheets/d/1QqKyyYR6Q21VydFLVH3TRQUabQu_ym0Zz7PgGX0-kHA/edit?usp=sharing"",""แผน!EP76"")"),280)</f>
        <v>280</v>
      </c>
      <c r="J355" s="1206">
        <f ca="1">J362</f>
        <v>26</v>
      </c>
      <c r="K355" s="1207">
        <f ca="1">IF(I355&gt;0,J355*100/I355,0)</f>
        <v>9.2857142857142865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IFERROR(__xludf.DUMMYFUNCTION("IMPORTRANGE(""https://docs.google.com/spreadsheets/d/1XWAQStnk-4SwqDmLtmXYiTMKHgktTP8We1SCoS47DrQ/edit?usp=sharing"",""จัดที่ดิน!W76"")"),176)</f>
        <v>176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IFERROR(__xludf.DUMMYFUNCTION("IMPORTRANGE(""https://docs.google.com/spreadsheets/d/1QqKyyYR6Q21VydFLVH3TRQUabQu_ym0Zz7PgGX0-kHA/edit?usp=sharing"",""แผน!EO76"")"),2500)</f>
        <v>2500</v>
      </c>
      <c r="J359" s="880">
        <f ca="1">IFERROR(__xludf.DUMMYFUNCTION("IMPORTRANGE(""https://docs.google.com/spreadsheets/d/1XWAQStnk-4SwqDmLtmXYiTMKHgktTP8We1SCoS47DrQ/edit?usp=sharing"",""จัดที่ดิน!X76"")"),1689.48)</f>
        <v>1689.48</v>
      </c>
      <c r="K359" s="881">
        <f t="shared" ca="1" si="161"/>
        <v>67.5792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IFERROR(__xludf.DUMMYFUNCTION("IMPORTRANGE(""https://docs.google.com/spreadsheets/d/1QqKyyYR6Q21VydFLVH3TRQUabQu_ym0Zz7PgGX0-kHA/edit?usp=sharing"",""แผน!EP76"")"),280)</f>
        <v>280</v>
      </c>
      <c r="J360" s="880">
        <f ca="1">IFERROR(__xludf.DUMMYFUNCTION("IMPORTRANGE(""https://docs.google.com/spreadsheets/d/1XWAQStnk-4SwqDmLtmXYiTMKHgktTP8We1SCoS47DrQ/edit?usp=sharing"",""จัดที่ดิน!Y76"")"),119)</f>
        <v>119</v>
      </c>
      <c r="K360" s="881">
        <f t="shared" ca="1" si="161"/>
        <v>42.5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IFERROR(__xludf.DUMMYFUNCTION("IMPORTRANGE(""https://docs.google.com/spreadsheets/d/1XWAQStnk-4SwqDmLtmXYiTMKHgktTP8We1SCoS47DrQ/edit?usp=sharing"",""จัดที่ดิน!Z76"")"),1149.97)</f>
        <v>1149.97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IFERROR(__xludf.DUMMYFUNCTION("IMPORTRANGE(""https://docs.google.com/spreadsheets/d/1QqKyyYR6Q21VydFLVH3TRQUabQu_ym0Zz7PgGX0-kHA/edit?usp=sharing"",""แผน!EP76"")"),280)</f>
        <v>280</v>
      </c>
      <c r="J362" s="880">
        <f ca="1">IFERROR(__xludf.DUMMYFUNCTION("IMPORTRANGE(""https://docs.google.com/spreadsheets/d/1XWAQStnk-4SwqDmLtmXYiTMKHgktTP8We1SCoS47DrQ/edit?usp=sharing"",""จัดที่ดิน!AA76"")"),26)</f>
        <v>26</v>
      </c>
      <c r="K362" s="881">
        <f t="shared" ca="1" si="161"/>
        <v>9.2857142857142865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IFERROR(__xludf.DUMMYFUNCTION("IMPORTRANGE(""https://docs.google.com/spreadsheets/d/1XWAQStnk-4SwqDmLtmXYiTMKHgktTP8We1SCoS47DrQ/edit?usp=sharing"",""จัดที่ดิน!AB76"")"),234.15)</f>
        <v>234.15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670</v>
      </c>
      <c r="J364" s="1219">
        <f t="shared" ca="1" si="162"/>
        <v>296</v>
      </c>
      <c r="K364" s="1220">
        <f t="shared" ca="1" si="161"/>
        <v>44.179104477611943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IFERROR(__xludf.DUMMYFUNCTION("IMPORTRANGE(""https://docs.google.com/spreadsheets/d/1QqKyyYR6Q21VydFLVH3TRQUabQu_ym0Zz7PgGX0-kHA/edit?usp=sharing"",""แผน!EJ76"")"),100)</f>
        <v>100</v>
      </c>
      <c r="J365" s="1227">
        <f ca="1">J372</f>
        <v>5</v>
      </c>
      <c r="K365" s="1228">
        <f t="shared" ca="1" si="161"/>
        <v>5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IFERROR(__xludf.DUMMYFUNCTION("IMPORTRANGE(""https://docs.google.com/spreadsheets/d/1XWAQStnk-4SwqDmLtmXYiTMKHgktTP8We1SCoS47DrQ/edit?usp=sharing"",""จัดที่ดิน!E76"")"),56)</f>
        <v>56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IFERROR(__xludf.DUMMYFUNCTION("IMPORTRANGE(""https://docs.google.com/spreadsheets/d/1QqKyyYR6Q21VydFLVH3TRQUabQu_ym0Zz7PgGX0-kHA/edit?usp=sharing"",""แผน!EI76"")"),1000)</f>
        <v>1000</v>
      </c>
      <c r="J369" s="880">
        <f ca="1">IFERROR(__xludf.DUMMYFUNCTION("IMPORTRANGE(""https://docs.google.com/spreadsheets/d/1XWAQStnk-4SwqDmLtmXYiTMKHgktTP8We1SCoS47DrQ/edit?usp=sharing"",""จัดที่ดิน!F76"")"),559.17)</f>
        <v>559.16999999999996</v>
      </c>
      <c r="K369" s="881">
        <f t="shared" ca="1" si="163"/>
        <v>55.916999999999994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IFERROR(__xludf.DUMMYFUNCTION("IMPORTRANGE(""https://docs.google.com/spreadsheets/d/1QqKyyYR6Q21VydFLVH3TRQUabQu_ym0Zz7PgGX0-kHA/edit?usp=sharing"",""แผน!EJ76"")"),100)</f>
        <v>100</v>
      </c>
      <c r="J370" s="880">
        <f ca="1">IFERROR(__xludf.DUMMYFUNCTION("IMPORTRANGE(""https://docs.google.com/spreadsheets/d/1XWAQStnk-4SwqDmLtmXYiTMKHgktTP8We1SCoS47DrQ/edit?usp=sharing"",""จัดที่ดิน!G76"")"),15)</f>
        <v>15</v>
      </c>
      <c r="K370" s="881">
        <f t="shared" ca="1" si="163"/>
        <v>15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IFERROR(__xludf.DUMMYFUNCTION("IMPORTRANGE(""https://docs.google.com/spreadsheets/d/1XWAQStnk-4SwqDmLtmXYiTMKHgktTP8We1SCoS47DrQ/edit?usp=sharing"",""จัดที่ดิน!H76"")"),175.07)</f>
        <v>175.07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IFERROR(__xludf.DUMMYFUNCTION("IMPORTRANGE(""https://docs.google.com/spreadsheets/d/1QqKyyYR6Q21VydFLVH3TRQUabQu_ym0Zz7PgGX0-kHA/edit?usp=sharing"",""แผน!EJ76"")"),100)</f>
        <v>100</v>
      </c>
      <c r="J372" s="880">
        <f ca="1">IFERROR(__xludf.DUMMYFUNCTION("IMPORTRANGE(""https://docs.google.com/spreadsheets/d/1XWAQStnk-4SwqDmLtmXYiTMKHgktTP8We1SCoS47DrQ/edit?usp=sharing"",""จัดที่ดิน!I76"")"),5)</f>
        <v>5</v>
      </c>
      <c r="K372" s="881">
        <f t="shared" ca="1" si="163"/>
        <v>5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IFERROR(__xludf.DUMMYFUNCTION("IMPORTRANGE(""https://docs.google.com/spreadsheets/d/1XWAQStnk-4SwqDmLtmXYiTMKHgktTP8We1SCoS47DrQ/edit?usp=sharing"",""จัดที่ดิน!J76"")"),36.85)</f>
        <v>36.85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IFERROR(__xludf.DUMMYFUNCTION("IMPORTRANGE(""https://docs.google.com/spreadsheets/d/1QqKyyYR6Q21VydFLVH3TRQUabQu_ym0Zz7PgGX0-kHA/edit?usp=sharing"",""แผน!EU76"")"),570)</f>
        <v>570</v>
      </c>
      <c r="J374" s="1227">
        <f ca="1">J381</f>
        <v>291</v>
      </c>
      <c r="K374" s="1228">
        <f t="shared" ca="1" si="163"/>
        <v>51.05263157894737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IFERROR(__xludf.DUMMYFUNCTION("IMPORTRANGE(""https://docs.google.com/spreadsheets/d/1XWAQStnk-4SwqDmLtmXYiTMKHgktTP8We1SCoS47DrQ/edit?usp=sharing"",""จัดที่ดิน!AH76"")"),120)</f>
        <v>120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IFERROR(__xludf.DUMMYFUNCTION("IMPORTRANGE(""https://docs.google.com/spreadsheets/d/1QqKyyYR6Q21VydFLVH3TRQUabQu_ym0Zz7PgGX0-kHA/edit?usp=sharing"",""แผน!ET76"")"),1500)</f>
        <v>1500</v>
      </c>
      <c r="J378" s="880">
        <f ca="1">IFERROR(__xludf.DUMMYFUNCTION("IMPORTRANGE(""https://docs.google.com/spreadsheets/d/1XWAQStnk-4SwqDmLtmXYiTMKHgktTP8We1SCoS47DrQ/edit?usp=sharing"",""จัดที่ดิน!AI76"")"),1130.31)</f>
        <v>1130.31</v>
      </c>
      <c r="K378" s="881">
        <f t="shared" ca="1" si="164"/>
        <v>75.353999999999999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IFERROR(__xludf.DUMMYFUNCTION("IMPORTRANGE(""https://docs.google.com/spreadsheets/d/1QqKyyYR6Q21VydFLVH3TRQUabQu_ym0Zz7PgGX0-kHA/edit?usp=sharing"",""แผน!EU76"")"),570)</f>
        <v>570</v>
      </c>
      <c r="J379" s="880">
        <f ca="1">IFERROR(__xludf.DUMMYFUNCTION("IMPORTRANGE(""https://docs.google.com/spreadsheets/d/1XWAQStnk-4SwqDmLtmXYiTMKHgktTP8We1SCoS47DrQ/edit?usp=sharing"",""จัดที่ดิน!AJ76"")"),376)</f>
        <v>376</v>
      </c>
      <c r="K379" s="881">
        <f t="shared" ca="1" si="164"/>
        <v>65.964912280701753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IFERROR(__xludf.DUMMYFUNCTION("IMPORTRANGE(""https://docs.google.com/spreadsheets/d/1XWAQStnk-4SwqDmLtmXYiTMKHgktTP8We1SCoS47DrQ/edit?usp=sharing"",""จัดที่ดิน!AK76"")"),4918.13)</f>
        <v>4918.13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IFERROR(__xludf.DUMMYFUNCTION("IMPORTRANGE(""https://docs.google.com/spreadsheets/d/1QqKyyYR6Q21VydFLVH3TRQUabQu_ym0Zz7PgGX0-kHA/edit?usp=sharing"",""แผน!EU76"")"),570)</f>
        <v>570</v>
      </c>
      <c r="J381" s="880">
        <f ca="1">IFERROR(__xludf.DUMMYFUNCTION("IMPORTRANGE(""https://docs.google.com/spreadsheets/d/1XWAQStnk-4SwqDmLtmXYiTMKHgktTP8We1SCoS47DrQ/edit?usp=sharing"",""จัดที่ดิน!AL76"")"),291)</f>
        <v>291</v>
      </c>
      <c r="K381" s="881">
        <f t="shared" ca="1" si="164"/>
        <v>51.05263157894737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IFERROR(__xludf.DUMMYFUNCTION("IMPORTRANGE(""https://docs.google.com/spreadsheets/d/1XWAQStnk-4SwqDmLtmXYiTMKHgktTP8We1SCoS47DrQ/edit?usp=sharing"",""จัดที่ดิน!AM76"")"),4106.91)</f>
        <v>4106.91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IFERROR(__xludf.DUMMYFUNCTION("IMPORTRANGE(""https://docs.google.com/spreadsheets/d/1QqKyyYR6Q21VydFLVH3TRQUabQu_ym0Zz7PgGX0-kHA/edit?usp=sharing"",""แผน!EW76"")"),35)</f>
        <v>35</v>
      </c>
      <c r="J385" s="1138">
        <f ca="1">IFERROR(__xludf.DUMMYFUNCTION("IMPORTRANGE(""https://docs.google.com/spreadsheets/d/1XWAQStnk-4SwqDmLtmXYiTMKHgktTP8We1SCoS47DrQ/edit?usp=sharing"",""จัดที่ดิน!AP76"")"),0)</f>
        <v>0</v>
      </c>
      <c r="K385" s="1239">
        <f ca="1">IF(I385&gt;0,J385*100/I385,0)</f>
        <v>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IFERROR(__xludf.DUMMYFUNCTION("IMPORTRANGE(""https://docs.google.com/spreadsheets/d/1MeEWN-I1oV_STSDYn1IFDPWt_1FKiwhDph83XaGc0o0/edit?usp=sharing"",""งบพรบ!FG76"")"),0)</f>
        <v>0</v>
      </c>
      <c r="M394" s="887">
        <f ca="1">IFERROR(__xludf.DUMMYFUNCTION("IMPORTRANGE(""https://docs.google.com/spreadsheets/d/1MeEWN-I1oV_STSDYn1IFDPWt_1FKiwhDph83XaGc0o0/edit?usp=sharing"",""งบพรบ!FL76"")"),0)</f>
        <v>0</v>
      </c>
      <c r="N394" s="887">
        <f ca="1">IFERROR(__xludf.DUMMYFUNCTION("IMPORTRANGE(""https://docs.google.com/spreadsheets/d/1MeEWN-I1oV_STSDYn1IFDPWt_1FKiwhDph83XaGc0o0/edit?usp=sharing"",""งบพรบ!FN76"")"),0)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IFERROR(__xludf.DUMMYFUNCTION("IMPORTRANGE(""https://docs.google.com/spreadsheets/d/1MeEWN-I1oV_STSDYn1IFDPWt_1FKiwhDph83XaGc0o0/edit?usp=sharing"",""งบพรบ!FJ76"")"),0)</f>
        <v>0</v>
      </c>
      <c r="M397" s="887">
        <f ca="1">IFERROR(__xludf.DUMMYFUNCTION("IMPORTRANGE(""https://docs.google.com/spreadsheets/d/1MeEWN-I1oV_STSDYn1IFDPWt_1FKiwhDph83XaGc0o0/edit?usp=sharing"",""งบพรบ!FM76"")"),0)</f>
        <v>0</v>
      </c>
      <c r="N397" s="887">
        <f ca="1">IFERROR(__xludf.DUMMYFUNCTION("IMPORTRANGE(""https://docs.google.com/spreadsheets/d/1MeEWN-I1oV_STSDYn1IFDPWt_1FKiwhDph83XaGc0o0/edit?usp=sharing"",""งบพรบ!FO76"")"),0)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IFERROR(__xludf.DUMMYFUNCTION("IMPORTRANGE(""https://docs.google.com/spreadsheets/d/1MeEWN-I1oV_STSDYn1IFDPWt_1FKiwhDph83XaGc0o0/edit?usp=sharing"",""งบพรบ!FQ76"")"),0)</f>
        <v>0</v>
      </c>
      <c r="M407" s="887">
        <f ca="1">IFERROR(__xludf.DUMMYFUNCTION("IMPORTRANGE(""https://docs.google.com/spreadsheets/d/1MeEWN-I1oV_STSDYn1IFDPWt_1FKiwhDph83XaGc0o0/edit?usp=sharing"",""งบพรบ!FV76"")"),0)</f>
        <v>0</v>
      </c>
      <c r="N407" s="887">
        <f ca="1">IFERROR(__xludf.DUMMYFUNCTION("IMPORTRANGE(""https://docs.google.com/spreadsheets/d/1MeEWN-I1oV_STSDYn1IFDPWt_1FKiwhDph83XaGc0o0/edit?usp=sharing"",""งบพรบ!FX76"")"),0)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IFERROR(__xludf.DUMMYFUNCTION("IMPORTRANGE(""https://docs.google.com/spreadsheets/d/1MeEWN-I1oV_STSDYn1IFDPWt_1FKiwhDph83XaGc0o0/edit?usp=sharing"",""งบพรบ!FT76"")"),0)</f>
        <v>0</v>
      </c>
      <c r="M410" s="887">
        <f ca="1">IFERROR(__xludf.DUMMYFUNCTION("IMPORTRANGE(""https://docs.google.com/spreadsheets/d/1MeEWN-I1oV_STSDYn1IFDPWt_1FKiwhDph83XaGc0o0/edit?usp=sharing"",""งบพรบ!FW76"")"),0)</f>
        <v>0</v>
      </c>
      <c r="N410" s="887">
        <f ca="1">IFERROR(__xludf.DUMMYFUNCTION("IMPORTRANGE(""https://docs.google.com/spreadsheets/d/1MeEWN-I1oV_STSDYn1IFDPWt_1FKiwhDph83XaGc0o0/edit?usp=sharing"",""งบพรบ!FY76"")"),0)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2119836</v>
      </c>
      <c r="M414" s="1281">
        <f t="shared" ca="1" si="181"/>
        <v>2119836</v>
      </c>
      <c r="N414" s="1281">
        <f t="shared" si="181"/>
        <v>1163152.51</v>
      </c>
      <c r="O414" s="1281">
        <f ca="1">IF(L414&gt;0,N414*100/L414,0)</f>
        <v>54.869929088854043</v>
      </c>
      <c r="P414" s="1281">
        <f ca="1">IF(M414&gt;0,N414*100/M414,0)</f>
        <v>54.869929088854043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20</v>
      </c>
      <c r="J417" s="1294">
        <f t="shared" ca="1" si="182"/>
        <v>20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78760</v>
      </c>
      <c r="M419" s="992">
        <f t="shared" ca="1" si="184"/>
        <v>78760</v>
      </c>
      <c r="N419" s="992">
        <f t="shared" si="184"/>
        <v>28060</v>
      </c>
      <c r="O419" s="992">
        <f t="shared" ref="O419:O424" ca="1" si="185">IF(L419&gt;0,N419*100/L419,0)</f>
        <v>35.627221940071102</v>
      </c>
      <c r="P419" s="992">
        <f t="shared" ref="P419:P424" ca="1" si="186">IF(M419&gt;0,N419*100/M419,0)</f>
        <v>35.627221940071102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78760</v>
      </c>
      <c r="M421" s="887">
        <f t="shared" ca="1" si="187"/>
        <v>78760</v>
      </c>
      <c r="N421" s="887">
        <f t="shared" si="187"/>
        <v>28060</v>
      </c>
      <c r="O421" s="887">
        <f t="shared" ca="1" si="185"/>
        <v>35.627221940071102</v>
      </c>
      <c r="P421" s="887">
        <f t="shared" ca="1" si="186"/>
        <v>35.627221940071102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78760</v>
      </c>
      <c r="M422" s="881">
        <f t="shared" ca="1" si="188"/>
        <v>78760</v>
      </c>
      <c r="N422" s="881">
        <f t="shared" si="188"/>
        <v>28060</v>
      </c>
      <c r="O422" s="881">
        <f t="shared" ca="1" si="185"/>
        <v>35.627221940071102</v>
      </c>
      <c r="P422" s="881">
        <f t="shared" ca="1" si="186"/>
        <v>35.627221940071102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IFERROR(__xludf.DUMMYFUNCTION("IMPORTRANGE(""https://docs.google.com/spreadsheets/d/1QqKyyYR6Q21VydFLVH3TRQUabQu_ym0Zz7PgGX0-kHA/edit?usp=sharing"",""แผน!EY76"")"),78760)</f>
        <v>78760</v>
      </c>
      <c r="M424" s="887">
        <f ca="1">L424</f>
        <v>78760</v>
      </c>
      <c r="N424" s="887">
        <f>N425+N426+N427+N428</f>
        <v>28060</v>
      </c>
      <c r="O424" s="887">
        <f t="shared" ca="1" si="185"/>
        <v>35.627221940071102</v>
      </c>
      <c r="P424" s="887">
        <f t="shared" ca="1" si="186"/>
        <v>35.627221940071102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28060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0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IFERROR(__xludf.DUMMYFUNCTION("IMPORTRANGE(""https://docs.google.com/spreadsheets/d/1QqKyyYR6Q21VydFLVH3TRQUabQu_ym0Zz7PgGX0-kHA/edit?usp=sharing"",""แผน!FB76"")"),0)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20</v>
      </c>
      <c r="J433" s="1019">
        <f ca="1">IF(AND(J435=I435,J437=I437,J439=I439),I437+I439,IF(AND(J435=I437,J437=I437),I437,IF(AND(J435=I439,J439=I439),I439,0)))</f>
        <v>20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IFERROR(__xludf.DUMMYFUNCTION("IMPORTRANGE(""https://docs.google.com/spreadsheets/d/1QqKyyYR6Q21VydFLVH3TRQUabQu_ym0Zz7PgGX0-kHA/edit?usp=sharing"",""แผน!FC76"")"),20)</f>
        <v>20</v>
      </c>
      <c r="J435" s="583">
        <v>20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IFERROR(__xludf.DUMMYFUNCTION("IMPORTRANGE(""https://docs.google.com/spreadsheets/d/1QqKyyYR6Q21VydFLVH3TRQUabQu_ym0Zz7PgGX0-kHA/edit?usp=sharing"",""แผน!FD76"")"),0)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IFERROR(__xludf.DUMMYFUNCTION("IMPORTRANGE(""https://docs.google.com/spreadsheets/d/1QqKyyYR6Q21VydFLVH3TRQUabQu_ym0Zz7PgGX0-kHA/edit?usp=sharing"",""แผน!FE76"")"),0)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IFERROR(__xludf.DUMMYFUNCTION("IMPORTRANGE(""https://docs.google.com/spreadsheets/d/1QqKyyYR6Q21VydFLVH3TRQUabQu_ym0Zz7PgGX0-kHA/edit?usp=sharing"",""แผน!FF76"")"),20)</f>
        <v>20</v>
      </c>
      <c r="J439" s="583">
        <v>20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IFERROR(__xludf.DUMMYFUNCTION("IMPORTRANGE(""https://docs.google.com/spreadsheets/d/1QqKyyYR6Q21VydFLVH3TRQUabQu_ym0Zz7PgGX0-kHA/edit?usp=sharing"",""แผน!FG76"")"),1)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IFERROR(__xludf.DUMMYFUNCTION("IMPORTRANGE(""https://docs.google.com/spreadsheets/d/1QqKyyYR6Q21VydFLVH3TRQUabQu_ym0Zz7PgGX0-kHA/edit?usp=sharing"",""แผน!FH76"")"),0)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45</v>
      </c>
      <c r="J442" s="1310">
        <f t="shared" si="195"/>
        <v>45</v>
      </c>
      <c r="K442" s="1311">
        <f t="shared" ca="1" si="194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200</v>
      </c>
      <c r="J443" s="1294">
        <f t="shared" si="196"/>
        <v>150</v>
      </c>
      <c r="K443" s="1295">
        <f t="shared" ca="1" si="194"/>
        <v>75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428280</v>
      </c>
      <c r="M444" s="1020">
        <f t="shared" ca="1" si="197"/>
        <v>428280</v>
      </c>
      <c r="N444" s="1020">
        <f t="shared" si="197"/>
        <v>106774</v>
      </c>
      <c r="O444" s="1020">
        <f t="shared" ref="O444:O449" ca="1" si="198">IF(L444&gt;0,N444*100/L444,0)</f>
        <v>24.930886336041841</v>
      </c>
      <c r="P444" s="1020">
        <f t="shared" ref="P444:P449" ca="1" si="199">IF(M444&gt;0,N444*100/M444,0)</f>
        <v>24.930886336041841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428280</v>
      </c>
      <c r="M446" s="887">
        <f t="shared" ca="1" si="200"/>
        <v>428280</v>
      </c>
      <c r="N446" s="887">
        <f t="shared" si="200"/>
        <v>106774</v>
      </c>
      <c r="O446" s="887">
        <f t="shared" ca="1" si="198"/>
        <v>24.930886336041841</v>
      </c>
      <c r="P446" s="887">
        <f t="shared" ca="1" si="199"/>
        <v>24.930886336041841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428280</v>
      </c>
      <c r="M447" s="881">
        <f t="shared" ca="1" si="201"/>
        <v>428280</v>
      </c>
      <c r="N447" s="881">
        <f t="shared" si="201"/>
        <v>106774</v>
      </c>
      <c r="O447" s="881">
        <f t="shared" ca="1" si="198"/>
        <v>24.930886336041841</v>
      </c>
      <c r="P447" s="881">
        <f t="shared" ca="1" si="199"/>
        <v>24.930886336041841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IFERROR(__xludf.DUMMYFUNCTION("IMPORTRANGE(""https://docs.google.com/spreadsheets/d/1QqKyyYR6Q21VydFLVH3TRQUabQu_ym0Zz7PgGX0-kHA/edit?usp=sharing"",""แผน!FJ76"")"),428280)</f>
        <v>428280</v>
      </c>
      <c r="M449" s="887">
        <f ca="1">L449</f>
        <v>428280</v>
      </c>
      <c r="N449" s="887">
        <f>N450+N451+N452+N453</f>
        <v>106774</v>
      </c>
      <c r="O449" s="887">
        <f t="shared" ca="1" si="198"/>
        <v>24.930886336041841</v>
      </c>
      <c r="P449" s="887">
        <f t="shared" ca="1" si="199"/>
        <v>24.930886336041841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52280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51134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3360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IFERROR(__xludf.DUMMYFUNCTION("IMPORTRANGE(""https://docs.google.com/spreadsheets/d/1QqKyyYR6Q21VydFLVH3TRQUabQu_ym0Zz7PgGX0-kHA/edit?usp=sharing"",""แผน!FM76"")"),0)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IFERROR(__xludf.DUMMYFUNCTION("IMPORTRANGE(""https://docs.google.com/spreadsheets/d/1QqKyyYR6Q21VydFLVH3TRQUabQu_ym0Zz7PgGX0-kHA/edit?usp=sharing"",""แผน!FN76"")"),45)</f>
        <v>45</v>
      </c>
      <c r="J460" s="1012">
        <v>45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IFERROR(__xludf.DUMMYFUNCTION("IMPORTRANGE(""https://docs.google.com/spreadsheets/d/1QqKyyYR6Q21VydFLVH3TRQUabQu_ym0Zz7PgGX0-kHA/edit?usp=sharing"",""แผน!FO76"")"),200)</f>
        <v>200</v>
      </c>
      <c r="J462" s="1012">
        <v>150</v>
      </c>
      <c r="K462" s="881">
        <f ca="1">IF(I462&gt;0,J462*100/I462,0)</f>
        <v>75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IFERROR(__xludf.DUMMYFUNCTION("IMPORTRANGE(""https://docs.google.com/spreadsheets/d/1QqKyyYR6Q21VydFLVH3TRQUabQu_ym0Zz7PgGX0-kHA/edit?usp=sharing"",""แผน!FO76"")"),200)</f>
        <v>200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IFERROR(__xludf.DUMMYFUNCTION("IMPORTRANGE(""https://docs.google.com/spreadsheets/d/1QqKyyYR6Q21VydFLVH3TRQUabQu_ym0Zz7PgGX0-kHA/edit?usp=sharing"",""แผน!FN76"")"),45)</f>
        <v>45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IFERROR(__xludf.DUMMYFUNCTION("IMPORTRANGE(""https://docs.google.com/spreadsheets/d/1QqKyyYR6Q21VydFLVH3TRQUabQu_ym0Zz7PgGX0-kHA/edit?usp=sharing"",""แผน!FX76"")"),51)</f>
        <v>51</v>
      </c>
      <c r="J465" s="1310">
        <f>J485+J489+J492</f>
        <v>51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IFERROR(__xludf.DUMMYFUNCTION("IMPORTRANGE(""https://docs.google.com/spreadsheets/d/1QqKyyYR6Q21VydFLVH3TRQUabQu_ym0Zz7PgGX0-kHA/edit?usp=sharing"",""แผน!FW76"")"),500)</f>
        <v>500</v>
      </c>
      <c r="J466" s="1294">
        <f>J495+J498</f>
        <v>500</v>
      </c>
      <c r="K466" s="1295">
        <f t="shared" ca="1" si="205"/>
        <v>100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413113</v>
      </c>
      <c r="M467" s="1020">
        <f t="shared" ca="1" si="206"/>
        <v>413113</v>
      </c>
      <c r="N467" s="1020">
        <f t="shared" si="206"/>
        <v>387543</v>
      </c>
      <c r="O467" s="1020">
        <f t="shared" ref="O467:O472" ca="1" si="207">IF(L467&gt;0,N467*100/L467,0)</f>
        <v>93.810410226741837</v>
      </c>
      <c r="P467" s="1020">
        <f t="shared" ref="P467:P472" ca="1" si="208">IF(M467&gt;0,N467*100/M467,0)</f>
        <v>93.810410226741837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413113</v>
      </c>
      <c r="M469" s="887">
        <f t="shared" ca="1" si="209"/>
        <v>413113</v>
      </c>
      <c r="N469" s="887">
        <f t="shared" si="209"/>
        <v>387543</v>
      </c>
      <c r="O469" s="887">
        <f t="shared" ca="1" si="207"/>
        <v>93.810410226741837</v>
      </c>
      <c r="P469" s="887">
        <f t="shared" ca="1" si="208"/>
        <v>93.810410226741837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413113</v>
      </c>
      <c r="M470" s="881">
        <f t="shared" ca="1" si="210"/>
        <v>413113</v>
      </c>
      <c r="N470" s="881">
        <f t="shared" si="210"/>
        <v>387543</v>
      </c>
      <c r="O470" s="881">
        <f t="shared" ca="1" si="207"/>
        <v>93.810410226741837</v>
      </c>
      <c r="P470" s="881">
        <f t="shared" ca="1" si="208"/>
        <v>93.810410226741837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IFERROR(__xludf.DUMMYFUNCTION("IMPORTRANGE(""https://docs.google.com/spreadsheets/d/1QqKyyYR6Q21VydFLVH3TRQUabQu_ym0Zz7PgGX0-kHA/edit?usp=sharing"",""แผน!FS76"")"),413113)</f>
        <v>413113</v>
      </c>
      <c r="M472" s="887">
        <f ca="1">L472</f>
        <v>413113</v>
      </c>
      <c r="N472" s="887">
        <f>N473+N474+N475+N476</f>
        <v>387543</v>
      </c>
      <c r="O472" s="887">
        <f t="shared" ca="1" si="207"/>
        <v>93.810410226741837</v>
      </c>
      <c r="P472" s="887">
        <f t="shared" ca="1" si="208"/>
        <v>93.810410226741837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69583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f>4000+310000</f>
        <v>314000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v>3960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IFERROR(__xludf.DUMMYFUNCTION("IMPORTRANGE(""https://docs.google.com/spreadsheets/d/1QqKyyYR6Q21VydFLVH3TRQUabQu_ym0Zz7PgGX0-kHA/edit?usp=sharing"",""แผน!FV76"")"),0)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IFERROR(__xludf.DUMMYFUNCTION("IMPORTRANGE(""https://docs.google.com/spreadsheets/d/1QqKyyYR6Q21VydFLVH3TRQUabQu_ym0Zz7PgGX0-kHA/edit?usp=sharing"",""แผน!FY76"")"),450)</f>
        <v>450</v>
      </c>
      <c r="J483" s="1012">
        <v>450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45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IFERROR(__xludf.DUMMYFUNCTION("IMPORTRANGE(""https://docs.google.com/spreadsheets/d/1QqKyyYR6Q21VydFLVH3TRQUabQu_ym0Zz7PgGX0-kHA/edit?usp=sharing"",""แผน!FZ76"")"),45)</f>
        <v>45</v>
      </c>
      <c r="J485" s="1012">
        <v>45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IFERROR(__xludf.DUMMYFUNCTION("IMPORTRANGE(""https://docs.google.com/spreadsheets/d/1QqKyyYR6Q21VydFLVH3TRQUabQu_ym0Zz7PgGX0-kHA/edit?usp=sharing"",""แผน!GA76"")"),50)</f>
        <v>50</v>
      </c>
      <c r="J487" s="1012">
        <v>50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5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IFERROR(__xludf.DUMMYFUNCTION("IMPORTRANGE(""https://docs.google.com/spreadsheets/d/1QqKyyYR6Q21VydFLVH3TRQUabQu_ym0Zz7PgGX0-kHA/edit?usp=sharing"",""แผน!GB76"")"),5)</f>
        <v>5</v>
      </c>
      <c r="J489" s="1012">
        <v>5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IFERROR(__xludf.DUMMYFUNCTION("IMPORTRANGE(""https://docs.google.com/spreadsheets/d/1QqKyyYR6Q21VydFLVH3TRQUabQu_ym0Zz7PgGX0-kHA/edit?usp=sharing"",""แผน!GC76"")"),1)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IFERROR(__xludf.DUMMYFUNCTION("IMPORTRANGE(""https://docs.google.com/spreadsheets/d/1QqKyyYR6Q21VydFLVH3TRQUabQu_ym0Zz7PgGX0-kHA/edit?usp=sharing"",""แผน!FY76"")"),450)</f>
        <v>450</v>
      </c>
      <c r="J495" s="1012">
        <v>450</v>
      </c>
      <c r="K495" s="881">
        <f ca="1">IF(I495&gt;0,J495*100/I495,0)</f>
        <v>100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450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IFERROR(__xludf.DUMMYFUNCTION("IMPORTRANGE(""https://docs.google.com/spreadsheets/d/1QqKyyYR6Q21VydFLVH3TRQUabQu_ym0Zz7PgGX0-kHA/edit?usp=sharing"",""แผน!GA76"")"),50)</f>
        <v>50</v>
      </c>
      <c r="J498" s="1012">
        <v>50</v>
      </c>
      <c r="K498" s="881">
        <f ca="1">IF(I498&gt;0,J498*100/I498,0)</f>
        <v>100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50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50</v>
      </c>
      <c r="J522" s="1377">
        <f t="shared" ca="1" si="225"/>
        <v>50</v>
      </c>
      <c r="K522" s="1378">
        <f ca="1">IF(I522&gt;0,J522*100/I522,0)</f>
        <v>100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440560</v>
      </c>
      <c r="M523" s="1020">
        <f t="shared" ca="1" si="226"/>
        <v>440560</v>
      </c>
      <c r="N523" s="1020">
        <f t="shared" si="226"/>
        <v>412540</v>
      </c>
      <c r="O523" s="1020">
        <f t="shared" ref="O523:O528" ca="1" si="227">IF(L523&gt;0,N523*100/L523,0)</f>
        <v>93.639912838205916</v>
      </c>
      <c r="P523" s="1020">
        <f t="shared" ref="P523:P528" ca="1" si="228">IF(M523&gt;0,N523*100/M523,0)</f>
        <v>93.639912838205916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440560</v>
      </c>
      <c r="M525" s="887">
        <f t="shared" ca="1" si="229"/>
        <v>440560</v>
      </c>
      <c r="N525" s="887">
        <f t="shared" si="229"/>
        <v>412540</v>
      </c>
      <c r="O525" s="887">
        <f t="shared" ca="1" si="227"/>
        <v>93.639912838205916</v>
      </c>
      <c r="P525" s="887">
        <f t="shared" ca="1" si="228"/>
        <v>93.639912838205916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440560</v>
      </c>
      <c r="M526" s="881">
        <f t="shared" ca="1" si="230"/>
        <v>440560</v>
      </c>
      <c r="N526" s="881">
        <f t="shared" si="230"/>
        <v>412540</v>
      </c>
      <c r="O526" s="881">
        <f t="shared" ca="1" si="227"/>
        <v>93.639912838205916</v>
      </c>
      <c r="P526" s="881">
        <f t="shared" ca="1" si="228"/>
        <v>93.639912838205916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IFERROR(__xludf.DUMMYFUNCTION("IMPORTRANGE(""https://docs.google.com/spreadsheets/d/1QqKyyYR6Q21VydFLVH3TRQUabQu_ym0Zz7PgGX0-kHA/edit?usp=sharing"",""แผน!GQ76"")"),440560)</f>
        <v>440560</v>
      </c>
      <c r="M528" s="887">
        <f ca="1">L528</f>
        <v>440560</v>
      </c>
      <c r="N528" s="887">
        <f>N529+N530+N531+N532</f>
        <v>412540</v>
      </c>
      <c r="O528" s="887">
        <f t="shared" ca="1" si="227"/>
        <v>93.639912838205916</v>
      </c>
      <c r="P528" s="887">
        <f t="shared" ca="1" si="228"/>
        <v>93.639912838205916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148220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250000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14320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IFERROR(__xludf.DUMMYFUNCTION("IMPORTRANGE(""https://docs.google.com/spreadsheets/d/1QqKyyYR6Q21VydFLVH3TRQUabQu_ym0Zz7PgGX0-kHA/edit?usp=sharing"",""แผน!GT76"")"),0)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IFERROR(__xludf.DUMMYFUNCTION("IMPORTRANGE(""https://docs.google.com/spreadsheets/d/1QqKyyYR6Q21VydFLVH3TRQUabQu_ym0Zz7PgGX0-kHA/edit?usp=sharing"",""แผน!GU76"")"),50)</f>
        <v>50</v>
      </c>
      <c r="J537" s="1019">
        <f ca="1">IF(AND(J538=I538,J539=I539,J540=I540,J541=I541),I537,0)</f>
        <v>50</v>
      </c>
      <c r="K537" s="881">
        <f t="shared" ref="K537:K543" ca="1" si="234">IF(I537&gt;0,J537*100/I537,0)</f>
        <v>100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IFERROR(__xludf.DUMMYFUNCTION("IMPORTRANGE(""https://docs.google.com/spreadsheets/d/1QqKyyYR6Q21VydFLVH3TRQUabQu_ym0Zz7PgGX0-kHA/edit?usp=sharing"",""แผน!GV76"")"),50)</f>
        <v>50</v>
      </c>
      <c r="J538" s="1012">
        <v>50</v>
      </c>
      <c r="K538" s="881">
        <f t="shared" ca="1" si="234"/>
        <v>100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IFERROR(__xludf.DUMMYFUNCTION("IMPORTRANGE(""https://docs.google.com/spreadsheets/d/1QqKyyYR6Q21VydFLVH3TRQUabQu_ym0Zz7PgGX0-kHA/edit?usp=sharing"",""แผน!GW76"")"),50)</f>
        <v>50</v>
      </c>
      <c r="J539" s="1012">
        <v>50</v>
      </c>
      <c r="K539" s="881">
        <f t="shared" ca="1" si="234"/>
        <v>100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IFERROR(__xludf.DUMMYFUNCTION("IMPORTRANGE(""https://docs.google.com/spreadsheets/d/1QqKyyYR6Q21VydFLVH3TRQUabQu_ym0Zz7PgGX0-kHA/edit?usp=sharing"",""แผน!GX76"")"),50)</f>
        <v>50</v>
      </c>
      <c r="J540" s="1012">
        <v>50</v>
      </c>
      <c r="K540" s="881">
        <f t="shared" ca="1" si="234"/>
        <v>100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IFERROR(__xludf.DUMMYFUNCTION("IMPORTRANGE(""https://docs.google.com/spreadsheets/d/1QqKyyYR6Q21VydFLVH3TRQUabQu_ym0Zz7PgGX0-kHA/edit?usp=sharing"",""แผน!GY76"")"),0)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IFERROR(__xludf.DUMMYFUNCTION("IMPORTRANGE(""https://docs.google.com/spreadsheets/d/1QqKyyYR6Q21VydFLVH3TRQUabQu_ym0Zz7PgGX0-kHA/edit?usp=sharing"",""แผน!GZ76"")"),50)</f>
        <v>50</v>
      </c>
      <c r="J542" s="1012">
        <v>50</v>
      </c>
      <c r="K542" s="881">
        <f t="shared" ca="1" si="234"/>
        <v>100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72063</v>
      </c>
      <c r="J543" s="1384">
        <f t="shared" si="235"/>
        <v>72064</v>
      </c>
      <c r="K543" s="1385">
        <f t="shared" ca="1" si="234"/>
        <v>100.00138767467355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759123</v>
      </c>
      <c r="M544" s="992">
        <f t="shared" ca="1" si="236"/>
        <v>759123</v>
      </c>
      <c r="N544" s="992">
        <f t="shared" si="236"/>
        <v>228235.51</v>
      </c>
      <c r="O544" s="992">
        <f t="shared" ref="O544:O549" ca="1" si="237">IF(L544&gt;0,N544*100/L544,0)</f>
        <v>30.065682372948785</v>
      </c>
      <c r="P544" s="992">
        <f t="shared" ref="P544:P549" ca="1" si="238">IF(M544&gt;0,N544*100/M544,0)</f>
        <v>30.065682372948785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759123</v>
      </c>
      <c r="M546" s="887">
        <f t="shared" ca="1" si="240"/>
        <v>759123</v>
      </c>
      <c r="N546" s="887">
        <f t="shared" si="240"/>
        <v>228235.51</v>
      </c>
      <c r="O546" s="887">
        <f t="shared" ca="1" si="237"/>
        <v>30.065682372948785</v>
      </c>
      <c r="P546" s="887">
        <f t="shared" ca="1" si="238"/>
        <v>30.065682372948785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759123</v>
      </c>
      <c r="M547" s="881">
        <f t="shared" ca="1" si="241"/>
        <v>759123</v>
      </c>
      <c r="N547" s="881">
        <f t="shared" si="241"/>
        <v>228235.51</v>
      </c>
      <c r="O547" s="881">
        <f t="shared" ca="1" si="237"/>
        <v>30.065682372948785</v>
      </c>
      <c r="P547" s="881">
        <f t="shared" ca="1" si="238"/>
        <v>30.065682372948785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IFERROR(__xludf.DUMMYFUNCTION("IMPORTRANGE(""https://docs.google.com/spreadsheets/d/1QqKyyYR6Q21VydFLVH3TRQUabQu_ym0Zz7PgGX0-kHA/edit?usp=sharing"",""แผน!HB76"")"),759123)</f>
        <v>759123</v>
      </c>
      <c r="M549" s="887">
        <f ca="1">L549</f>
        <v>759123</v>
      </c>
      <c r="N549" s="887">
        <f>N550+N551+N552+N553+N554</f>
        <v>228235.51</v>
      </c>
      <c r="O549" s="887">
        <f t="shared" ca="1" si="237"/>
        <v>30.065682372948785</v>
      </c>
      <c r="P549" s="887">
        <f t="shared" ca="1" si="238"/>
        <v>30.065682372948785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63701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f>228235.51-63701</f>
        <v>164534.51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IFERROR(__xludf.DUMMYFUNCTION("IMPORTRANGE(""https://docs.google.com/spreadsheets/d/1QqKyyYR6Q21VydFLVH3TRQUabQu_ym0Zz7PgGX0-kHA/edit?usp=sharing"",""แผน!HF76"")"),0)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72063</v>
      </c>
      <c r="J559" s="1377">
        <f t="shared" si="245"/>
        <v>72064</v>
      </c>
      <c r="K559" s="1378">
        <f t="shared" ref="K559:K561" ca="1" si="246">IF(I559&gt;0,J559*100/I559,0)</f>
        <v>100.00138767467355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IFERROR(__xludf.DUMMYFUNCTION("IMPORTRANGE(""https://docs.google.com/spreadsheets/d/1QqKyyYR6Q21VydFLVH3TRQUabQu_ym0Zz7PgGX0-kHA/edit?usp=sharing"",""แผน!HH76"")"),72063)</f>
        <v>72063</v>
      </c>
      <c r="J560" s="1018">
        <f t="shared" ref="J560:J561" si="247">J562+J564+J566</f>
        <v>72063</v>
      </c>
      <c r="K560" s="1162">
        <f t="shared" ca="1" si="246"/>
        <v>100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IFERROR(__xludf.DUMMYFUNCTION("IMPORTRANGE(""https://docs.google.com/spreadsheets/d/1QqKyyYR6Q21VydFLVH3TRQUabQu_ym0Zz7PgGX0-kHA/edit?usp=sharing"",""แผน!HG76"")"),5898)</f>
        <v>5898</v>
      </c>
      <c r="J561" s="1018">
        <f t="shared" si="247"/>
        <v>5898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63211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5198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7386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567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1466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133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IFERROR(__xludf.DUMMYFUNCTION("IMPORTRANGE(""https://docs.google.com/spreadsheets/d/1QqKyyYR6Q21VydFLVH3TRQUabQu_ym0Zz7PgGX0-kHA/edit?usp=sharing"",""แผน!HH76"")"),72063)</f>
        <v>72063</v>
      </c>
      <c r="J568" s="1019">
        <f t="shared" ref="J568:J569" si="248">J570+J572+J574</f>
        <v>72064</v>
      </c>
      <c r="K568" s="1162">
        <f t="shared" ref="K568:K569" ca="1" si="249">IF(I568&gt;0,J568*100/I568,0)</f>
        <v>100.00138767467355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IFERROR(__xludf.DUMMYFUNCTION("IMPORTRANGE(""https://docs.google.com/spreadsheets/d/1QqKyyYR6Q21VydFLVH3TRQUabQu_ym0Zz7PgGX0-kHA/edit?usp=sharing"",""แผน!HG76"")"),5898)</f>
        <v>5898</v>
      </c>
      <c r="J569" s="1019">
        <f t="shared" si="248"/>
        <v>5898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63638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5234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6893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529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1533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135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IFERROR(__xludf.DUMMYFUNCTION("IMPORTRANGE(""https://docs.google.com/spreadsheets/d/1QqKyyYR6Q21VydFLVH3TRQUabQu_ym0Zz7PgGX0-kHA/edit?usp=sharing"",""แผน!HH76"")"),72063)</f>
        <v>72063</v>
      </c>
      <c r="J576" s="1019">
        <f t="shared" ref="J576:J577" si="250">J578+J580+J582+J588+J590</f>
        <v>72064</v>
      </c>
      <c r="K576" s="1162">
        <f t="shared" ref="K576:K577" ca="1" si="251">IF(I576&gt;0,J576*100/I576,0)</f>
        <v>100.00138767467355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IFERROR(__xludf.DUMMYFUNCTION("IMPORTRANGE(""https://docs.google.com/spreadsheets/d/1QqKyyYR6Q21VydFLVH3TRQUabQu_ym0Zz7PgGX0-kHA/edit?usp=sharing"",""แผน!HG76"")"),5898)</f>
        <v>5898</v>
      </c>
      <c r="J577" s="1019">
        <f t="shared" si="250"/>
        <v>5898</v>
      </c>
      <c r="K577" s="1162">
        <f t="shared" ca="1" si="251"/>
        <v>100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63638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5234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6893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529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1533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135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1533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135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11583.05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IFERROR(__xludf.DUMMYFUNCTION("IMPORTRANGE(""https://docs.google.com/spreadsheets/d/1QqKyyYR6Q21VydFLVH3TRQUabQu_ym0Zz7PgGX0-kHA/edit?usp=sharing"",""แผน!HJ76"")"),11583.05)</f>
        <v>11583.05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IFERROR(__xludf.DUMMYFUNCTION("IMPORTRANGE(""https://docs.google.com/spreadsheets/d/1QqKyyYR6Q21VydFLVH3TRQUabQu_ym0Zz7PgGX0-kHA/edit?usp=sharing"",""แผน!HI76"")"),1156)</f>
        <v>1156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IFERROR(__xludf.DUMMYFUNCTION("IMPORTRANGE(""https://docs.google.com/spreadsheets/d/1QqKyyYR6Q21VydFLVH3TRQUabQu_ym0Zz7PgGX0-kHA/edit?usp=sharing"",""แผน!HL76"")"),0)</f>
        <v>0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IFERROR(__xludf.DUMMYFUNCTION("IMPORTRANGE(""https://docs.google.com/spreadsheets/d/1QqKyyYR6Q21VydFLVH3TRQUabQu_ym0Zz7PgGX0-kHA/edit?usp=sharing"",""แผน!HK76"")"),0)</f>
        <v>0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 hidden="1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 hidden="1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0</v>
      </c>
      <c r="M629" s="1020">
        <f t="shared" si="263"/>
        <v>0</v>
      </c>
      <c r="N629" s="1020">
        <f t="shared" si="263"/>
        <v>0</v>
      </c>
      <c r="O629" s="1020">
        <f t="shared" ref="O629:O634" ca="1" si="264">IF(L629&gt;0,N629*100/L629,0)</f>
        <v>0</v>
      </c>
      <c r="P629" s="1020">
        <f t="shared" ref="P629:P634" si="265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0</v>
      </c>
      <c r="M631" s="887">
        <f t="shared" si="266"/>
        <v>0</v>
      </c>
      <c r="N631" s="887">
        <f t="shared" si="266"/>
        <v>0</v>
      </c>
      <c r="O631" s="887">
        <f t="shared" ca="1" si="264"/>
        <v>0</v>
      </c>
      <c r="P631" s="887">
        <f t="shared" si="265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 hidden="1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0</v>
      </c>
      <c r="M632" s="881">
        <f t="shared" si="267"/>
        <v>0</v>
      </c>
      <c r="N632" s="881">
        <f t="shared" si="267"/>
        <v>0</v>
      </c>
      <c r="O632" s="881">
        <f t="shared" ca="1" si="264"/>
        <v>0</v>
      </c>
      <c r="P632" s="881">
        <f t="shared" si="265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IFERROR(__xludf.DUMMYFUNCTION("IMPORTRANGE(""https://docs.google.com/spreadsheets/d/1QqKyyYR6Q21VydFLVH3TRQUabQu_ym0Zz7PgGX0-kHA/edit?usp=sharing"",""แผน!HN76"")"),0)</f>
        <v>0</v>
      </c>
      <c r="M634" s="887">
        <v>0</v>
      </c>
      <c r="N634" s="887">
        <f>N635+N636+N637+N638</f>
        <v>0</v>
      </c>
      <c r="O634" s="887">
        <f t="shared" ca="1" si="264"/>
        <v>0</v>
      </c>
      <c r="P634" s="887">
        <f t="shared" si="265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 hidden="1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 hidden="1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 hidden="1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 hidden="1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 hidden="1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IFERROR(__xludf.DUMMYFUNCTION("IMPORTRANGE(""https://docs.google.com/spreadsheets/d/1QqKyyYR6Q21VydFLVH3TRQUabQu_ym0Zz7PgGX0-kHA/edit?usp=sharing"",""แผน!HQ76"")"),0)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 hidden="1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 hidden="1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IFERROR(__xludf.DUMMYFUNCTION("IMPORTRANGE(""https://docs.google.com/spreadsheets/d/1QqKyyYR6Q21VydFLVH3TRQUabQu_ym0Zz7PgGX0-kHA/edit?usp=sharing"",""แผน!HR76"")"),0)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 hidden="1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IFERROR(__xludf.DUMMYFUNCTION("IMPORTRANGE(""https://docs.google.com/spreadsheets/d/1QqKyyYR6Q21VydFLVH3TRQUabQu_ym0Zz7PgGX0-kHA/edit?usp=sharing"",""แผน!HR76"")"),0)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 hidden="1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IFERROR(__xludf.DUMMYFUNCTION("IMPORTRANGE(""https://docs.google.com/spreadsheets/d/1XWAQStnk-4SwqDmLtmXYiTMKHgktTP8We1SCoS47DrQ/edit?usp=sharing"",""จัดที่ดิน!AS76"")"),0)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 hidden="1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IFERROR(__xludf.DUMMYFUNCTION("IMPORTRANGE(""https://docs.google.com/spreadsheets/d/1XWAQStnk-4SwqDmLtmXYiTMKHgktTP8We1SCoS47DrQ/edit?usp=sharing"",""จัดที่ดิน!AT76"")"),0)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 hidden="1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IFERROR(__xludf.DUMMYFUNCTION("IMPORTRANGE(""https://docs.google.com/spreadsheets/d/1QqKyyYR6Q21VydFLVH3TRQUabQu_ym0Zz7PgGX0-kHA/edit?usp=sharing"",""แผน!HS76"")"),0)</f>
        <v>0</v>
      </c>
      <c r="J647" s="880">
        <f ca="1">IFERROR(__xludf.DUMMYFUNCTION("IMPORTRANGE(""https://docs.google.com/spreadsheets/d/1XWAQStnk-4SwqDmLtmXYiTMKHgktTP8We1SCoS47DrQ/edit?usp=sharing"",""จัดที่ดิน!AU76"")"),0)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 hidden="1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IFERROR(__xludf.DUMMYFUNCTION("IMPORTRANGE(""https://docs.google.com/spreadsheets/d/1XWAQStnk-4SwqDmLtmXYiTMKHgktTP8We1SCoS47DrQ/edit?usp=sharing"",""จัดที่ดิน!AV76"")"),0)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 hidden="1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IFERROR(__xludf.DUMMYFUNCTION("IMPORTRANGE(""https://docs.google.com/spreadsheets/d/1QqKyyYR6Q21VydFLVH3TRQUabQu_ym0Zz7PgGX0-kHA/edit?usp=sharing"",""แผน!HS76"")"),0)</f>
        <v>0</v>
      </c>
      <c r="J649" s="880">
        <f ca="1">IFERROR(__xludf.DUMMYFUNCTION("IMPORTRANGE(""https://docs.google.com/spreadsheets/d/1XWAQStnk-4SwqDmLtmXYiTMKHgktTP8We1SCoS47DrQ/edit?usp=sharing"",""จัดที่ดิน!AW76"")"),0)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 hidden="1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IFERROR(__xludf.DUMMYFUNCTION("IMPORTRANGE(""https://docs.google.com/spreadsheets/d/1XWAQStnk-4SwqDmLtmXYiTMKHgktTP8We1SCoS47DrQ/edit?usp=sharing"",""จัดที่ดิน!AX76"")"),0)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 hidden="1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IFERROR(__xludf.DUMMYFUNCTION("IMPORTRANGE(""https://docs.google.com/spreadsheets/d/1QqKyyYR6Q21VydFLVH3TRQUabQu_ym0Zz7PgGX0-kHA/edit?usp=sharing"",""แผน!HS76"")"),0)</f>
        <v>0</v>
      </c>
      <c r="J651" s="880">
        <f ca="1">IFERROR(__xludf.DUMMYFUNCTION("IMPORTRANGE(""https://docs.google.com/spreadsheets/d/1XWAQStnk-4SwqDmLtmXYiTMKHgktTP8We1SCoS47DrQ/edit?usp=sharing"",""จัดที่ดิน!AY76"")"),0)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 hidden="1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IFERROR(__xludf.DUMMYFUNCTION("IMPORTRANGE(""https://docs.google.com/spreadsheets/d/1XWAQStnk-4SwqDmLtmXYiTMKHgktTP8We1SCoS47DrQ/edit?usp=sharing"",""จัดที่ดิน!AZ76"")"),0)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 hidden="1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0</v>
      </c>
      <c r="M655" s="1020">
        <f t="shared" si="273"/>
        <v>0</v>
      </c>
      <c r="N655" s="1020">
        <f t="shared" si="273"/>
        <v>0</v>
      </c>
      <c r="O655" s="1020">
        <f t="shared" ref="O655:O660" ca="1" si="274">IF(L655&gt;0,N655*100/L655,0)</f>
        <v>0</v>
      </c>
      <c r="P655" s="1020">
        <f t="shared" ref="P655:P660" si="275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0</v>
      </c>
      <c r="M657" s="887">
        <f t="shared" si="276"/>
        <v>0</v>
      </c>
      <c r="N657" s="887">
        <f t="shared" si="276"/>
        <v>0</v>
      </c>
      <c r="O657" s="887">
        <f t="shared" ca="1" si="274"/>
        <v>0</v>
      </c>
      <c r="P657" s="887">
        <f t="shared" si="275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0</v>
      </c>
      <c r="M658" s="881">
        <f t="shared" si="277"/>
        <v>0</v>
      </c>
      <c r="N658" s="881">
        <f t="shared" si="277"/>
        <v>0</v>
      </c>
      <c r="O658" s="881">
        <f t="shared" ca="1" si="274"/>
        <v>0</v>
      </c>
      <c r="P658" s="881">
        <f t="shared" si="275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IFERROR(__xludf.DUMMYFUNCTION("IMPORTRANGE(""https://docs.google.com/spreadsheets/d/1QqKyyYR6Q21VydFLVH3TRQUabQu_ym0Zz7PgGX0-kHA/edit?usp=sharing"",""แผน!HV76"")"),0)</f>
        <v>0</v>
      </c>
      <c r="M660" s="887">
        <v>0</v>
      </c>
      <c r="N660" s="887">
        <f>N661+N662+N663+N664</f>
        <v>0</v>
      </c>
      <c r="O660" s="887">
        <f t="shared" ca="1" si="274"/>
        <v>0</v>
      </c>
      <c r="P660" s="887">
        <f t="shared" si="275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IFERROR(__xludf.DUMMYFUNCTION("IMPORTRANGE(""https://docs.google.com/spreadsheets/d/1QqKyyYR6Q21VydFLVH3TRQUabQu_ym0Zz7PgGX0-kHA/edit?usp=sharing"",""แผน!IA76"")"),0)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IFERROR(__xludf.DUMMYFUNCTION("IMPORTRANGE(""https://docs.google.com/spreadsheets/d/1QqKyyYR6Q21VydFLVH3TRQUabQu_ym0Zz7PgGX0-kHA/edit?usp=sharing"",""แผน!HZ76"")"),0)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IFERROR(__xludf.DUMMYFUNCTION("IMPORTRANGE(""https://docs.google.com/spreadsheets/d/1QqKyyYR6Q21VydFLVH3TRQUabQu_ym0Zz7PgGX0-kHA/edit?usp=sharing"",""แผน!HZ76"")"),0)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IFERROR(__xludf.DUMMYFUNCTION("IMPORTRANGE(""https://docs.google.com/spreadsheets/d/1QqKyyYR6Q21VydFLVH3TRQUabQu_ym0Zz7PgGX0-kHA/edit?usp=sharing"",""แผน!IB76"")"),0)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IFERROR(__xludf.DUMMYFUNCTION("IMPORTRANGE(""https://docs.google.com/spreadsheets/d/1QqKyyYR6Q21VydFLVH3TRQUabQu_ym0Zz7PgGX0-kHA/edit?usp=sharing"",""แผน!HW76"")"),0)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IFERROR(__xludf.DUMMYFUNCTION("IMPORTRANGE(""https://docs.google.com/spreadsheets/d/1QqKyyYR6Q21VydFLVH3TRQUabQu_ym0Zz7PgGX0-kHA/edit?usp=sharing"",""แผน!IC76"")"),0)</f>
        <v>0</v>
      </c>
      <c r="J699" s="880">
        <f ca="1">IFERROR(__xludf.DUMMYFUNCTION("IMPORTRANGE(""https://docs.google.com/spreadsheets/d/1XWAQStnk-4SwqDmLtmXYiTMKHgktTP8We1SCoS47DrQ/edit?usp=sharing"",""จัดที่ดิน!BB76"")"),0)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IFERROR(__xludf.DUMMYFUNCTION("IMPORTRANGE(""https://docs.google.com/spreadsheets/d/1QqKyyYR6Q21VydFLVH3TRQUabQu_ym0Zz7PgGX0-kHA/edit?usp=sharing"",""แผน!ID76"")"),0)</f>
        <v>0</v>
      </c>
      <c r="J700" s="880">
        <f ca="1">IFERROR(__xludf.DUMMYFUNCTION("IMPORTRANGE(""https://docs.google.com/spreadsheets/d/1XWAQStnk-4SwqDmLtmXYiTMKHgktTP8We1SCoS47DrQ/edit?usp=sharing"",""จัดที่ดิน!BD76"")"),0)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IFERROR(__xludf.DUMMYFUNCTION("IMPORTRANGE(""https://docs.google.com/spreadsheets/d/1QqKyyYR6Q21VydFLVH3TRQUabQu_ym0Zz7PgGX0-kHA/edit?usp=sharing"",""แผน!IE76"")"),0)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IFERROR(__xludf.DUMMYFUNCTION("IMPORTRANGE(""https://docs.google.com/spreadsheets/d/1QqKyyYR6Q21VydFLVH3TRQUabQu_ym0Zz7PgGX0-kHA/edit?usp=sharing"",""แผน!IF76"")"),0)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IFERROR(__xludf.DUMMYFUNCTION("IMPORTRANGE(""https://docs.google.com/spreadsheets/d/1QqKyyYR6Q21VydFLVH3TRQUabQu_ym0Zz7PgGX0-kHA/edit?usp=sharing"",""แผน!IG76"")"),0)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IFERROR(__xludf.DUMMYFUNCTION("IMPORTRANGE(""https://docs.google.com/spreadsheets/d/1QqKyyYR6Q21VydFLVH3TRQUabQu_ym0Zz7PgGX0-kHA/edit?usp=sharing"",""แผน!IH76"")"),0)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IFERROR(__xludf.DUMMYFUNCTION("IMPORTRANGE(""https://docs.google.com/spreadsheets/d/1XWAQStnk-4SwqDmLtmXYiTMKHgktTP8We1SCoS47DrQ/edit?usp=sharing"",""จัดที่ดิน!BF76"")"),0)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IFERROR(__xludf.DUMMYFUNCTION("IMPORTRANGE(""https://docs.google.com/spreadsheets/d/1XWAQStnk-4SwqDmLtmXYiTMKHgktTP8We1SCoS47DrQ/edit?usp=sharing"",""จัดที่ดิน!BG76"")"),0)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IFERROR(__xludf.DUMMYFUNCTION("IMPORTRANGE(""https://docs.google.com/spreadsheets/d/1QqKyyYR6Q21VydFLVH3TRQUabQu_ym0Zz7PgGX0-kHA/edit?usp=sharing"",""แผน!II76"")"),0)</f>
        <v>0</v>
      </c>
      <c r="J720" s="880">
        <f ca="1">IFERROR(__xludf.DUMMYFUNCTION("IMPORTRANGE(""https://docs.google.com/spreadsheets/d/1XWAQStnk-4SwqDmLtmXYiTMKHgktTP8We1SCoS47DrQ/edit?usp=sharing"",""จัดที่ดิน!BH76"")"),0)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IFERROR(__xludf.DUMMYFUNCTION("IMPORTRANGE(""https://docs.google.com/spreadsheets/d/1QqKyyYR6Q21VydFLVH3TRQUabQu_ym0Zz7PgGX0-kHA/edit?usp=sharing"",""แผน!IJ76"")"),0)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IFERROR(__xludf.DUMMYFUNCTION("IMPORTRANGE(""https://docs.google.com/spreadsheets/d/1QqKyyYR6Q21VydFLVH3TRQUabQu_ym0Zz7PgGX0-kHA/edit?usp=sharing"",""แผน!IK76"")"),0)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IFERROR(__xludf.DUMMYFUNCTION("IMPORTRANGE(""https://docs.google.com/spreadsheets/d/1QqKyyYR6Q21VydFLVH3TRQUabQu_ym0Zz7PgGX0-kHA/edit?usp=sharing"",""แผน!IL76"")"),0)</f>
        <v>0</v>
      </c>
      <c r="J723" s="880">
        <f ca="1">IFERROR(__xludf.DUMMYFUNCTION("IMPORTRANGE(""https://docs.google.com/spreadsheets/d/1XWAQStnk-4SwqDmLtmXYiTMKHgktTP8We1SCoS47DrQ/edit?usp=sharing"",""จัดที่ดิน!BM76"")"),0)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IFERROR(__xludf.DUMMYFUNCTION("IMPORTRANGE(""https://docs.google.com/spreadsheets/d/1XWAQStnk-4SwqDmLtmXYiTMKHgktTP8We1SCoS47DrQ/edit?usp=sharing"",""จัดที่ดิน!BN76"")"),0)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IFERROR(__xludf.DUMMYFUNCTION("IMPORTRANGE(""https://docs.google.com/spreadsheets/d/1QqKyyYR6Q21VydFLVH3TRQUabQu_ym0Zz7PgGX0-kHA/edit?usp=sharing"",""แผน!IM76"")"),0)</f>
        <v>0</v>
      </c>
      <c r="J725" s="880">
        <f ca="1">IFERROR(__xludf.DUMMYFUNCTION("IMPORTRANGE(""https://docs.google.com/spreadsheets/d/1XWAQStnk-4SwqDmLtmXYiTMKHgktTP8We1SCoS47DrQ/edit?usp=sharing"",""จัดที่ดิน!BO76"")"),0)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IFERROR(__xludf.DUMMYFUNCTION("IMPORTRANGE(""https://docs.google.com/spreadsheets/d/1QqKyyYR6Q21VydFLVH3TRQUabQu_ym0Zz7PgGX0-kHA/edit?usp=sharing"",""แผน!IN76"")"),0)</f>
        <v>0</v>
      </c>
      <c r="J726" s="880">
        <f ca="1">IFERROR(__xludf.DUMMYFUNCTION("IMPORTRANGE(""https://docs.google.com/spreadsheets/d/1XWAQStnk-4SwqDmLtmXYiTMKHgktTP8We1SCoS47DrQ/edit?usp=sharing"",""จัดที่ดิน!BR76"")"),0)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IFERROR(__xludf.DUMMYFUNCTION("IMPORTRANGE(""https://docs.google.com/spreadsheets/d/1XWAQStnk-4SwqDmLtmXYiTMKHgktTP8We1SCoS47DrQ/edit?usp=sharing"",""จัดที่ดิน!BS76"")"),0)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IFERROR(__xludf.DUMMYFUNCTION("IMPORTRANGE(""https://docs.google.com/spreadsheets/d/1QqKyyYR6Q21VydFLVH3TRQUabQu_ym0Zz7PgGX0-kHA/edit?usp=sharing"",""แผน!IO76"")"),0)</f>
        <v>0</v>
      </c>
      <c r="J728" s="880">
        <f ca="1">IFERROR(__xludf.DUMMYFUNCTION("IMPORTRANGE(""https://docs.google.com/spreadsheets/d/1XWAQStnk-4SwqDmLtmXYiTMKHgktTP8We1SCoS47DrQ/edit?usp=sharing"",""จัดที่ดิน!BT76"")"),0)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IFERROR(__xludf.DUMMYFUNCTION("IMPORTRANGE(""https://docs.google.com/spreadsheets/d/1QqKyyYR6Q21VydFLVH3TRQUabQu_ym0Zz7PgGX0-kHA/edit?usp=sharing"",""แผน!IP76"")"),0)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IFERROR(__xludf.DUMMYFUNCTION("IMPORTRANGE(""https://docs.google.com/spreadsheets/d/1QqKyyYR6Q21VydFLVH3TRQUabQu_ym0Zz7PgGX0-kHA/edit?usp=sharing"",""แผน!JJ76"")"),0)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IFERROR(__xludf.DUMMYFUNCTION("IMPORTRANGE(""https://docs.google.com/spreadsheets/d/1QqKyyYR6Q21VydFLVH3TRQUabQu_ym0Zz7PgGX0-kHA/edit?usp=sharing"",""แผน!JN76"")"),0)</f>
        <v>0</v>
      </c>
      <c r="J800" s="997">
        <f ca="1">IFERROR(__xludf.DUMMYFUNCTION("IMPORTRANGE(""https://docs.google.com/spreadsheets/d/1MaWodYyGHDf7siQLGxnXhG4mBNTNIuy296niS2xXulU/edit?usp=sharing"",""RTK!H76"")"),0)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IFERROR(__xludf.DUMMYFUNCTION("IMPORTRANGE(""https://docs.google.com/spreadsheets/d/1MaWodYyGHDf7siQLGxnXhG4mBNTNIuy296niS2xXulU/edit?usp=sharing"",""RTK!I76"")"),0)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>
        <v>0</v>
      </c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>
        <v>0</v>
      </c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336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880">
        <f ca="1">IFERROR(__xludf.DUMMYFUNCTION("IMPORTRANGE(""https://docs.google.com/spreadsheets/d/19vJNZY_5yjcGF2XGBMNZRCAIB0Kwfpjp8YEOfu-bneM/edit?usp=sharing"",""งานกองทุน!F76"")"),619445.19)</f>
        <v>619445.18999999994</v>
      </c>
      <c r="K821" s="881">
        <f t="shared" ref="K821:K828" ca="1" si="335">IF(I821&gt;0,J821*100/I821,0)</f>
        <v>54.988141838745648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IFERROR(__xludf.DUMMYFUNCTION("IMPORTRANGE(""https://docs.google.com/spreadsheets/d/19vJNZY_5yjcGF2XGBMNZRCAIB0Kwfpjp8YEOfu-bneM/edit?usp=sharing"",""งานกองทุน!C76"")"),113)</f>
        <v>113</v>
      </c>
      <c r="J822" s="880">
        <f ca="1">IFERROR(__xludf.DUMMYFUNCTION("IMPORTRANGE(""https://docs.google.com/spreadsheets/d/19vJNZY_5yjcGF2XGBMNZRCAIB0Kwfpjp8YEOfu-bneM/edit?usp=sharing"",""งานกองทุน!E76"")"),57)</f>
        <v>57</v>
      </c>
      <c r="K822" s="881">
        <f t="shared" ca="1" si="335"/>
        <v>50.442477876106196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880">
        <f ca="1">IFERROR(__xludf.DUMMYFUNCTION("IMPORTRANGE(""https://docs.google.com/spreadsheets/d/19vJNZY_5yjcGF2XGBMNZRCAIB0Kwfpjp8YEOfu-bneM/edit?usp=sharing"",""งานกองทุน!K76"")"),117772.17)</f>
        <v>117772.17</v>
      </c>
      <c r="K823" s="881">
        <f t="shared" ca="1" si="335"/>
        <v>25.834152796338124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IFERROR(__xludf.DUMMYFUNCTION("IMPORTRANGE(""https://docs.google.com/spreadsheets/d/19vJNZY_5yjcGF2XGBMNZRCAIB0Kwfpjp8YEOfu-bneM/edit?usp=sharing"",""งานกองทุน!H76"")"),19)</f>
        <v>19</v>
      </c>
      <c r="J824" s="880">
        <f ca="1">IFERROR(__xludf.DUMMYFUNCTION("IMPORTRANGE(""https://docs.google.com/spreadsheets/d/19vJNZY_5yjcGF2XGBMNZRCAIB0Kwfpjp8YEOfu-bneM/edit?usp=sharing"",""งานกองทุน!J76"")"),7)</f>
        <v>7</v>
      </c>
      <c r="K824" s="881">
        <f t="shared" ca="1" si="335"/>
        <v>36.842105263157897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IFERROR(__xludf.DUMMYFUNCTION("IMPORTRANGE(""https://docs.google.com/spreadsheets/d/19vJNZY_5yjcGF2XGBMNZRCAIB0Kwfpjp8YEOfu-bneM/edit?usp=sharing"",""งานกองทุน!N76"")"),0)</f>
        <v>0</v>
      </c>
      <c r="J825" s="880">
        <f ca="1">IFERROR(__xludf.DUMMYFUNCTION("IMPORTRANGE(""https://docs.google.com/spreadsheets/d/19vJNZY_5yjcGF2XGBMNZRCAIB0Kwfpjp8YEOfu-bneM/edit?usp=sharing"",""งานกองทุน!P76"")"),0)</f>
        <v>0</v>
      </c>
      <c r="K825" s="881">
        <f t="shared" ca="1" si="335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IFERROR(__xludf.DUMMYFUNCTION("IMPORTRANGE(""https://docs.google.com/spreadsheets/d/19vJNZY_5yjcGF2XGBMNZRCAIB0Kwfpjp8YEOfu-bneM/edit?usp=sharing"",""งานกองทุน!M76"")"),0)</f>
        <v>0</v>
      </c>
      <c r="J826" s="880">
        <f ca="1">IFERROR(__xludf.DUMMYFUNCTION("IMPORTRANGE(""https://docs.google.com/spreadsheets/d/19vJNZY_5yjcGF2XGBMNZRCAIB0Kwfpjp8YEOfu-bneM/edit?usp=sharing"",""งานกองทุน!O76"")"),0)</f>
        <v>0</v>
      </c>
      <c r="K826" s="881">
        <f t="shared" ca="1" si="335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IFERROR(__xludf.DUMMYFUNCTION("IMPORTRANGE(""https://docs.google.com/spreadsheets/d/19vJNZY_5yjcGF2XGBMNZRCAIB0Kwfpjp8YEOfu-bneM/edit?usp=sharing"",""งานกองทุน!S76"")"),1050000)</f>
        <v>1050000</v>
      </c>
      <c r="J827" s="880">
        <f ca="1">IFERROR(__xludf.DUMMYFUNCTION("IMPORTRANGE(""https://docs.google.com/spreadsheets/d/19vJNZY_5yjcGF2XGBMNZRCAIB0Kwfpjp8YEOfu-bneM/edit?usp=sharing"",""งานกองทุน!U76"")"),390000)</f>
        <v>390000</v>
      </c>
      <c r="K827" s="881">
        <f t="shared" ca="1" si="335"/>
        <v>37.142857142857146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IFERROR(__xludf.DUMMYFUNCTION("IMPORTRANGE(""https://docs.google.com/spreadsheets/d/19vJNZY_5yjcGF2XGBMNZRCAIB0Kwfpjp8YEOfu-bneM/edit?usp=sharing"",""งานกองทุน!R76"")"),42)</f>
        <v>42</v>
      </c>
      <c r="J828" s="1138">
        <f ca="1">IFERROR(__xludf.DUMMYFUNCTION("IMPORTRANGE(""https://docs.google.com/spreadsheets/d/19vJNZY_5yjcGF2XGBMNZRCAIB0Kwfpjp8YEOfu-bneM/edit?usp=sharing"",""งานกองทุน!T76"")"),13)</f>
        <v>13</v>
      </c>
      <c r="K828" s="1239">
        <f t="shared" ca="1" si="335"/>
        <v>30.952380952380953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C94CB-86EE-4BBC-AE4E-5B95FEA84982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A3" sqref="A3:P3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9" width="16.140625" style="852" bestFit="1" customWidth="1"/>
    <col min="10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337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3539657</v>
      </c>
      <c r="M8" s="867">
        <f t="shared" ca="1" si="0"/>
        <v>3015152.7</v>
      </c>
      <c r="N8" s="867">
        <f t="shared" ca="1" si="0"/>
        <v>1882320.79</v>
      </c>
      <c r="O8" s="867">
        <f t="shared" ref="O8:O16" ca="1" si="1">IF(L8&gt;0,N8*100/L8,0)</f>
        <v>53.178056235392297</v>
      </c>
      <c r="P8" s="867">
        <f t="shared" ref="P8:P16" ca="1" si="2">IF(M8&gt;0,N8*100/M8,0)</f>
        <v>62.428705186307809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3539657</v>
      </c>
      <c r="M10" s="874">
        <f t="shared" ca="1" si="3"/>
        <v>3015152.7</v>
      </c>
      <c r="N10" s="874">
        <f t="shared" ca="1" si="3"/>
        <v>1882320.79</v>
      </c>
      <c r="O10" s="874">
        <f t="shared" ca="1" si="1"/>
        <v>53.178056235392297</v>
      </c>
      <c r="P10" s="874">
        <f t="shared" ca="1" si="2"/>
        <v>62.428705186307809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3410057</v>
      </c>
      <c r="M11" s="881">
        <f t="shared" ca="1" si="4"/>
        <v>2885552.7</v>
      </c>
      <c r="N11" s="881">
        <f t="shared" ca="1" si="4"/>
        <v>1752720.79</v>
      </c>
      <c r="O11" s="881">
        <f t="shared" ca="1" si="1"/>
        <v>51.398577501783691</v>
      </c>
      <c r="P11" s="881">
        <f t="shared" ca="1" si="2"/>
        <v>60.741250367737173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3410057</v>
      </c>
      <c r="M13" s="887">
        <f t="shared" ca="1" si="5"/>
        <v>2885552.7</v>
      </c>
      <c r="N13" s="887">
        <f t="shared" ca="1" si="5"/>
        <v>1752720.79</v>
      </c>
      <c r="O13" s="887">
        <f t="shared" ca="1" si="1"/>
        <v>51.398577501783691</v>
      </c>
      <c r="P13" s="887">
        <f t="shared" ca="1" si="2"/>
        <v>60.741250367737173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129600</v>
      </c>
      <c r="M14" s="881">
        <f t="shared" ca="1" si="6"/>
        <v>129600</v>
      </c>
      <c r="N14" s="881">
        <f t="shared" ca="1" si="6"/>
        <v>129600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129600</v>
      </c>
      <c r="M16" s="893">
        <f t="shared" ca="1" si="7"/>
        <v>129600</v>
      </c>
      <c r="N16" s="893">
        <f t="shared" ca="1" si="7"/>
        <v>129600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2695565</v>
      </c>
      <c r="M18" s="867">
        <f t="shared" ca="1" si="8"/>
        <v>2171060.7000000002</v>
      </c>
      <c r="N18" s="867">
        <f t="shared" ca="1" si="8"/>
        <v>1592192.88</v>
      </c>
      <c r="O18" s="867">
        <f t="shared" ref="O18:O26" ca="1" si="9">IF(L18&gt;0,N18*100/L18,0)</f>
        <v>59.067129896700692</v>
      </c>
      <c r="P18" s="867">
        <f t="shared" ref="P18:P26" ca="1" si="10">IF(M18&gt;0,N18*100/M18,0)</f>
        <v>73.337096470863287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2695565</v>
      </c>
      <c r="M20" s="874">
        <f t="shared" ca="1" si="11"/>
        <v>2171060.7000000002</v>
      </c>
      <c r="N20" s="874">
        <f t="shared" ca="1" si="11"/>
        <v>1592192.88</v>
      </c>
      <c r="O20" s="874">
        <f t="shared" ca="1" si="9"/>
        <v>59.067129896700692</v>
      </c>
      <c r="P20" s="874">
        <f t="shared" ca="1" si="10"/>
        <v>73.337096470863287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2565965</v>
      </c>
      <c r="M21" s="881">
        <f t="shared" ca="1" si="12"/>
        <v>2041460.7</v>
      </c>
      <c r="N21" s="881">
        <f t="shared" ca="1" si="12"/>
        <v>1462592.88</v>
      </c>
      <c r="O21" s="881">
        <f t="shared" ca="1" si="9"/>
        <v>56.999720572961827</v>
      </c>
      <c r="P21" s="881">
        <f t="shared" ca="1" si="10"/>
        <v>71.644429892772365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2565965</v>
      </c>
      <c r="M23" s="887">
        <f t="shared" ca="1" si="13"/>
        <v>2041460.7</v>
      </c>
      <c r="N23" s="887">
        <f t="shared" ca="1" si="13"/>
        <v>1462592.88</v>
      </c>
      <c r="O23" s="887">
        <f t="shared" ca="1" si="9"/>
        <v>56.999720572961827</v>
      </c>
      <c r="P23" s="887">
        <f t="shared" ca="1" si="10"/>
        <v>71.644429892772365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129600</v>
      </c>
      <c r="M24" s="881">
        <f t="shared" ca="1" si="14"/>
        <v>129600</v>
      </c>
      <c r="N24" s="881">
        <f t="shared" ca="1" si="14"/>
        <v>129600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129600</v>
      </c>
      <c r="M26" s="893">
        <f t="shared" ca="1" si="15"/>
        <v>129600</v>
      </c>
      <c r="N26" s="893">
        <f t="shared" ca="1" si="15"/>
        <v>129600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844092</v>
      </c>
      <c r="M28" s="867">
        <f t="shared" ca="1" si="16"/>
        <v>844092</v>
      </c>
      <c r="N28" s="867">
        <f t="shared" si="16"/>
        <v>290127.91000000003</v>
      </c>
      <c r="O28" s="867">
        <f t="shared" ref="O28:O37" ca="1" si="17">IF(L28&gt;0,N28*100/L28,0)</f>
        <v>34.371598119636253</v>
      </c>
      <c r="P28" s="867">
        <f t="shared" ref="P28:P37" ca="1" si="18">IF(M28&gt;0,N28*100/M28,0)</f>
        <v>34.371598119636253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844092</v>
      </c>
      <c r="M30" s="874">
        <f t="shared" ca="1" si="19"/>
        <v>844092</v>
      </c>
      <c r="N30" s="874">
        <f t="shared" si="19"/>
        <v>290127.91000000003</v>
      </c>
      <c r="O30" s="874">
        <f t="shared" ca="1" si="17"/>
        <v>34.371598119636253</v>
      </c>
      <c r="P30" s="874">
        <f t="shared" ca="1" si="18"/>
        <v>34.371598119636253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844092</v>
      </c>
      <c r="M31" s="881">
        <f t="shared" ca="1" si="20"/>
        <v>844092</v>
      </c>
      <c r="N31" s="881">
        <f t="shared" si="20"/>
        <v>290127.91000000003</v>
      </c>
      <c r="O31" s="881">
        <f t="shared" ca="1" si="17"/>
        <v>34.371598119636253</v>
      </c>
      <c r="P31" s="881">
        <f t="shared" ca="1" si="18"/>
        <v>34.371598119636253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844092</v>
      </c>
      <c r="M33" s="887">
        <f t="shared" ca="1" si="21"/>
        <v>844092</v>
      </c>
      <c r="N33" s="887">
        <f t="shared" si="21"/>
        <v>290127.91000000003</v>
      </c>
      <c r="O33" s="887">
        <f t="shared" ca="1" si="17"/>
        <v>34.371598119636253</v>
      </c>
      <c r="P33" s="887">
        <f t="shared" ca="1" si="18"/>
        <v>34.371598119636253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2695565</v>
      </c>
      <c r="M37" s="900">
        <f t="shared" ca="1" si="24"/>
        <v>2171060.7000000002</v>
      </c>
      <c r="N37" s="900">
        <f t="shared" ca="1" si="24"/>
        <v>1592192.88</v>
      </c>
      <c r="O37" s="900">
        <f t="shared" ca="1" si="17"/>
        <v>59.067129896700692</v>
      </c>
      <c r="P37" s="900">
        <f t="shared" ca="1" si="18"/>
        <v>73.337096470863287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342700</v>
      </c>
      <c r="M41" s="926">
        <f t="shared" ca="1" si="25"/>
        <v>354225.7</v>
      </c>
      <c r="N41" s="926">
        <f t="shared" ca="1" si="25"/>
        <v>172858.96</v>
      </c>
      <c r="O41" s="926">
        <f t="shared" ref="O41:O49" ca="1" si="26">IF(L41&gt;0,N41*100/L41,0)</f>
        <v>50.4403151444412</v>
      </c>
      <c r="P41" s="926">
        <f t="shared" ref="P41:P49" ca="1" si="27">IF(M41&gt;0,N41*100/M41,0)</f>
        <v>48.799101815593843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342700</v>
      </c>
      <c r="M43" s="932">
        <f t="shared" ca="1" si="28"/>
        <v>354225.7</v>
      </c>
      <c r="N43" s="932">
        <f t="shared" ca="1" si="28"/>
        <v>172858.96</v>
      </c>
      <c r="O43" s="932">
        <f t="shared" ca="1" si="26"/>
        <v>50.4403151444412</v>
      </c>
      <c r="P43" s="932">
        <f t="shared" ca="1" si="27"/>
        <v>48.799101815593843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342700</v>
      </c>
      <c r="M44" s="881">
        <f t="shared" ca="1" si="29"/>
        <v>354225.7</v>
      </c>
      <c r="N44" s="881">
        <f t="shared" ca="1" si="29"/>
        <v>172858.96</v>
      </c>
      <c r="O44" s="881">
        <f t="shared" ca="1" si="26"/>
        <v>50.4403151444412</v>
      </c>
      <c r="P44" s="881">
        <f t="shared" ca="1" si="27"/>
        <v>48.799101815593843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IFERROR(__xludf.DUMMYFUNCTION("IMPORTRANGE(""https://docs.google.com/spreadsheets/d/1MeEWN-I1oV_STSDYn1IFDPWt_1FKiwhDph83XaGc0o0/edit?usp=sharing"",""งบพรบ!M77"")"),342700)</f>
        <v>342700</v>
      </c>
      <c r="M46" s="887">
        <f ca="1">IFERROR(__xludf.DUMMYFUNCTION("IMPORTRANGE(""https://docs.google.com/spreadsheets/d/1MeEWN-I1oV_STSDYn1IFDPWt_1FKiwhDph83XaGc0o0/edit?usp=sharing"",""งบพรบ!R77"")"),354225.7)</f>
        <v>354225.7</v>
      </c>
      <c r="N46" s="887">
        <f ca="1">IFERROR(__xludf.DUMMYFUNCTION("IMPORTRANGE(""https://docs.google.com/spreadsheets/d/1MeEWN-I1oV_STSDYn1IFDPWt_1FKiwhDph83XaGc0o0/edit?usp=sharing"",""งบพรบ!T77"")"),172858.96)</f>
        <v>172858.96</v>
      </c>
      <c r="O46" s="887">
        <f t="shared" ca="1" si="26"/>
        <v>50.4403151444412</v>
      </c>
      <c r="P46" s="887">
        <f t="shared" ca="1" si="27"/>
        <v>48.799101815593843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IFERROR(__xludf.DUMMYFUNCTION("IMPORTRANGE(""https://docs.google.com/spreadsheets/d/1MeEWN-I1oV_STSDYn1IFDPWt_1FKiwhDph83XaGc0o0/edit?usp=sharing"",""งบพรบ!P77"")"),0)</f>
        <v>0</v>
      </c>
      <c r="M49" s="893">
        <f ca="1">IFERROR(__xludf.DUMMYFUNCTION("IMPORTRANGE(""https://docs.google.com/spreadsheets/d/1MeEWN-I1oV_STSDYn1IFDPWt_1FKiwhDph83XaGc0o0/edit?usp=sharing"",""งบพรบ!S77"")"),0)</f>
        <v>0</v>
      </c>
      <c r="N49" s="893">
        <f ca="1">IFERROR(__xludf.DUMMYFUNCTION("IMPORTRANGE(""https://docs.google.com/spreadsheets/d/1MeEWN-I1oV_STSDYn1IFDPWt_1FKiwhDph83XaGc0o0/edit?usp=sharing"",""งบพรบ!U77"")"),0)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728300</v>
      </c>
      <c r="M53" s="956">
        <f t="shared" ca="1" si="31"/>
        <v>546225</v>
      </c>
      <c r="N53" s="956">
        <f t="shared" ca="1" si="31"/>
        <v>460643.12</v>
      </c>
      <c r="O53" s="956">
        <f t="shared" ref="O53:O61" ca="1" si="32">IF(L53&gt;0,N53*100/L53,0)</f>
        <v>63.249089660854047</v>
      </c>
      <c r="P53" s="956">
        <f t="shared" ref="P53:P61" ca="1" si="33">IF(M53&gt;0,N53*100/M53,0)</f>
        <v>84.332119547805391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728300</v>
      </c>
      <c r="M55" s="962">
        <f t="shared" ca="1" si="34"/>
        <v>546225</v>
      </c>
      <c r="N55" s="962">
        <f t="shared" ca="1" si="34"/>
        <v>460643.12</v>
      </c>
      <c r="O55" s="962">
        <f t="shared" ca="1" si="32"/>
        <v>63.249089660854047</v>
      </c>
      <c r="P55" s="962">
        <f t="shared" ca="1" si="33"/>
        <v>84.332119547805391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728300</v>
      </c>
      <c r="M56" s="881">
        <f t="shared" ca="1" si="35"/>
        <v>546225</v>
      </c>
      <c r="N56" s="881">
        <f t="shared" ca="1" si="35"/>
        <v>460643.12</v>
      </c>
      <c r="O56" s="881">
        <f t="shared" ca="1" si="32"/>
        <v>63.249089660854047</v>
      </c>
      <c r="P56" s="881">
        <f t="shared" ca="1" si="33"/>
        <v>84.332119547805391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IFERROR(__xludf.DUMMYFUNCTION("IMPORTRANGE(""https://docs.google.com/spreadsheets/d/1MeEWN-I1oV_STSDYn1IFDPWt_1FKiwhDph83XaGc0o0/edit?usp=sharing"",""งบพรบ!W77"")"),728300)</f>
        <v>728300</v>
      </c>
      <c r="M58" s="887">
        <f ca="1">IFERROR(__xludf.DUMMYFUNCTION("IMPORTRANGE(""https://docs.google.com/spreadsheets/d/1MeEWN-I1oV_STSDYn1IFDPWt_1FKiwhDph83XaGc0o0/edit?usp=sharing"",""งบพรบ!AB77"")"),546225)</f>
        <v>546225</v>
      </c>
      <c r="N58" s="887">
        <f ca="1">IFERROR(__xludf.DUMMYFUNCTION("IMPORTRANGE(""https://docs.google.com/spreadsheets/d/1MeEWN-I1oV_STSDYn1IFDPWt_1FKiwhDph83XaGc0o0/edit?usp=sharing"",""งบพรบ!AD77"")"),460643.12)</f>
        <v>460643.12</v>
      </c>
      <c r="O58" s="887">
        <f t="shared" ca="1" si="32"/>
        <v>63.249089660854047</v>
      </c>
      <c r="P58" s="887">
        <f t="shared" ca="1" si="33"/>
        <v>84.332119547805391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0</v>
      </c>
      <c r="M59" s="881">
        <f t="shared" ca="1" si="36"/>
        <v>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IFERROR(__xludf.DUMMYFUNCTION("IMPORTRANGE(""https://docs.google.com/spreadsheets/d/1MeEWN-I1oV_STSDYn1IFDPWt_1FKiwhDph83XaGc0o0/edit?usp=sharing"",""งบพรบ!Z77"")"),0)</f>
        <v>0</v>
      </c>
      <c r="M61" s="893">
        <f ca="1">IFERROR(__xludf.DUMMYFUNCTION("IMPORTRANGE(""https://docs.google.com/spreadsheets/d/1MeEWN-I1oV_STSDYn1IFDPWt_1FKiwhDph83XaGc0o0/edit?usp=sharing"",""งบพรบ!AC77"")"),0)</f>
        <v>0</v>
      </c>
      <c r="N61" s="893">
        <f ca="1">IFERROR(__xludf.DUMMYFUNCTION("IMPORTRANGE(""https://docs.google.com/spreadsheets/d/1MeEWN-I1oV_STSDYn1IFDPWt_1FKiwhDph83XaGc0o0/edit?usp=sharing"",""งบพรบ!AE77"")"),0)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IFERROR(__xludf.DUMMYFUNCTION("IMPORTRANGE(""https://docs.google.com/spreadsheets/d/1MeEWN-I1oV_STSDYn1IFDPWt_1FKiwhDph83XaGc0o0/edit?usp=sharing"",""งบพรบ!AG77"")"),0)</f>
        <v>0</v>
      </c>
      <c r="M71" s="887">
        <f ca="1">IFERROR(__xludf.DUMMYFUNCTION("IMPORTRANGE(""https://docs.google.com/spreadsheets/d/1MeEWN-I1oV_STSDYn1IFDPWt_1FKiwhDph83XaGc0o0/edit?usp=sharing"",""งบพรบ!AL77"")"),0)</f>
        <v>0</v>
      </c>
      <c r="N71" s="887">
        <f ca="1">IFERROR(__xludf.DUMMYFUNCTION("IMPORTRANGE(""https://docs.google.com/spreadsheets/d/1MeEWN-I1oV_STSDYn1IFDPWt_1FKiwhDph83XaGc0o0/edit?usp=sharing"",""งบพรบ!AN77"")"),0)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IFERROR(__xludf.DUMMYFUNCTION("IMPORTRANGE(""https://docs.google.com/spreadsheets/d/1MeEWN-I1oV_STSDYn1IFDPWt_1FKiwhDph83XaGc0o0/edit?usp=sharing"",""งบพรบ!AJ77"")"),0)</f>
        <v>0</v>
      </c>
      <c r="M74" s="887">
        <f ca="1">IFERROR(__xludf.DUMMYFUNCTION("IMPORTRANGE(""https://docs.google.com/spreadsheets/d/1MeEWN-I1oV_STSDYn1IFDPWt_1FKiwhDph83XaGc0o0/edit?usp=sharing"",""งบพรบ!AM77"")"),0)</f>
        <v>0</v>
      </c>
      <c r="N74" s="887">
        <f ca="1">IFERROR(__xludf.DUMMYFUNCTION("IMPORTRANGE(""https://docs.google.com/spreadsheets/d/1MeEWN-I1oV_STSDYn1IFDPWt_1FKiwhDph83XaGc0o0/edit?usp=sharing"",""งบพรบ!AO77"")"),0)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IFERROR(__xludf.DUMMYFUNCTION("IMPORTRANGE(""https://docs.google.com/spreadsheets/d/1QqKyyYR6Q21VydFLVH3TRQUabQu_ym0Zz7PgGX0-kHA/edit?usp=sharing"",""แผน!H77"")"),0)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IFERROR(__xludf.DUMMYFUNCTION("IMPORTRANGE(""https://docs.google.com/spreadsheets/d/1QqKyyYR6Q21VydFLVH3TRQUabQu_ym0Zz7PgGX0-kHA/edit?usp=sharing"",""แผน!I77"")"),0)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IFERROR(__xludf.DUMMYFUNCTION("IMPORTRANGE(""https://docs.google.com/spreadsheets/d/1QqKyyYR6Q21VydFLVH3TRQUabQu_ym0Zz7PgGX0-kHA/edit?usp=sharing"",""แผน!F77"")"),0)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IFERROR(__xludf.DUMMYFUNCTION("IMPORTRANGE(""https://docs.google.com/spreadsheets/d/1QqKyyYR6Q21VydFLVH3TRQUabQu_ym0Zz7PgGX0-kHA/edit?usp=sharing"",""แผน!G77"")"),0)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IFERROR(__xludf.DUMMYFUNCTION("IMPORTRANGE(""https://docs.google.com/spreadsheets/d/1QqKyyYR6Q21VydFLVH3TRQUabQu_ym0Zz7PgGX0-kHA/edit?usp=sharing"",""แผน!D77"")"),0)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IFERROR(__xludf.DUMMYFUNCTION("IMPORTRANGE(""https://docs.google.com/spreadsheets/d/1QqKyyYR6Q21VydFLVH3TRQUabQu_ym0Zz7PgGX0-kHA/edit?usp=sharing"",""แผน!E77"")"),0)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IFERROR(__xludf.DUMMYFUNCTION("IMPORTRANGE(""https://docs.google.com/spreadsheets/d/1QqKyyYR6Q21VydFLVH3TRQUabQu_ym0Zz7PgGX0-kHA/edit?usp=sharing"",""แผน!J77"")"),0)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0</v>
      </c>
      <c r="J86" s="982">
        <f t="shared" si="47"/>
        <v>0</v>
      </c>
      <c r="K86" s="983">
        <f t="shared" ref="K86:K87" ca="1" si="48">IF(I86&gt;0,J86*100/I86,0)</f>
        <v>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0</v>
      </c>
      <c r="J87" s="982">
        <f t="shared" si="47"/>
        <v>0</v>
      </c>
      <c r="K87" s="983">
        <f t="shared" ca="1" si="48"/>
        <v>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203800</v>
      </c>
      <c r="M88" s="992">
        <f t="shared" ca="1" si="49"/>
        <v>133350</v>
      </c>
      <c r="N88" s="992">
        <f t="shared" ca="1" si="49"/>
        <v>103206.69</v>
      </c>
      <c r="O88" s="992">
        <f t="shared" ref="O88:O96" ca="1" si="50">IF(L88&gt;0,N88*100/L88,0)</f>
        <v>50.641162904808638</v>
      </c>
      <c r="P88" s="992">
        <f t="shared" ref="P88:P96" ca="1" si="51">IF(M88&gt;0,N88*100/M88,0)</f>
        <v>77.395343082114735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203800</v>
      </c>
      <c r="M90" s="887">
        <f t="shared" ca="1" si="52"/>
        <v>133350</v>
      </c>
      <c r="N90" s="887">
        <f t="shared" ca="1" si="52"/>
        <v>103206.69</v>
      </c>
      <c r="O90" s="887">
        <f t="shared" ca="1" si="50"/>
        <v>50.641162904808638</v>
      </c>
      <c r="P90" s="887">
        <f t="shared" ca="1" si="51"/>
        <v>77.395343082114735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203800</v>
      </c>
      <c r="M91" s="881">
        <f t="shared" ca="1" si="53"/>
        <v>133350</v>
      </c>
      <c r="N91" s="881">
        <f t="shared" ca="1" si="53"/>
        <v>103206.69</v>
      </c>
      <c r="O91" s="881">
        <f t="shared" ca="1" si="50"/>
        <v>50.641162904808638</v>
      </c>
      <c r="P91" s="881">
        <f t="shared" ca="1" si="51"/>
        <v>77.395343082114735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IFERROR(__xludf.DUMMYFUNCTION("IMPORTRANGE(""https://docs.google.com/spreadsheets/d/1MeEWN-I1oV_STSDYn1IFDPWt_1FKiwhDph83XaGc0o0/edit?usp=sharing"",""งบพรบ!AQ77"")"),203800)</f>
        <v>203800</v>
      </c>
      <c r="M93" s="887">
        <f ca="1">IFERROR(__xludf.DUMMYFUNCTION("IMPORTRANGE(""https://docs.google.com/spreadsheets/d/1MeEWN-I1oV_STSDYn1IFDPWt_1FKiwhDph83XaGc0o0/edit?usp=sharing"",""งบพรบ!AV77"")"),133350)</f>
        <v>133350</v>
      </c>
      <c r="N93" s="887">
        <f ca="1">IFERROR(__xludf.DUMMYFUNCTION("IMPORTRANGE(""https://docs.google.com/spreadsheets/d/1MeEWN-I1oV_STSDYn1IFDPWt_1FKiwhDph83XaGc0o0/edit?usp=sharing"",""งบพรบ!AX77"")"),103206.69)</f>
        <v>103206.69</v>
      </c>
      <c r="O93" s="887">
        <f t="shared" ca="1" si="50"/>
        <v>50.641162904808638</v>
      </c>
      <c r="P93" s="887">
        <f t="shared" ca="1" si="51"/>
        <v>77.395343082114735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IFERROR(__xludf.DUMMYFUNCTION("IMPORTRANGE(""https://docs.google.com/spreadsheets/d/1MeEWN-I1oV_STSDYn1IFDPWt_1FKiwhDph83XaGc0o0/edit?usp=sharing"",""งบพรบ!AT77"")"),0)</f>
        <v>0</v>
      </c>
      <c r="M96" s="887">
        <f ca="1">IFERROR(__xludf.DUMMYFUNCTION("IMPORTRANGE(""https://docs.google.com/spreadsheets/d/1MeEWN-I1oV_STSDYn1IFDPWt_1FKiwhDph83XaGc0o0/edit?usp=sharing"",""งบพรบ!AW77"")"),0)</f>
        <v>0</v>
      </c>
      <c r="N96" s="887">
        <f ca="1">IFERROR(__xludf.DUMMYFUNCTION("IMPORTRANGE(""https://docs.google.com/spreadsheets/d/1MeEWN-I1oV_STSDYn1IFDPWt_1FKiwhDph83XaGc0o0/edit?usp=sharing"",""งบพรบ!AY77"")"),0)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IFERROR(__xludf.DUMMYFUNCTION("IMPORTRANGE(""https://docs.google.com/spreadsheets/d/1QqKyyYR6Q21VydFLVH3TRQUabQu_ym0Zz7PgGX0-kHA/edit?usp=sharing"",""แผน!K77"")"),0)</f>
        <v>0</v>
      </c>
      <c r="J98" s="880">
        <f>J102</f>
        <v>0</v>
      </c>
      <c r="K98" s="881">
        <f t="shared" ref="K98:K100" ca="1" si="55">IF(I98&gt;0,J98*100/I98,0)</f>
        <v>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IFERROR(__xludf.DUMMYFUNCTION("IMPORTRANGE(""https://docs.google.com/spreadsheets/d/1QqKyyYR6Q21VydFLVH3TRQUabQu_ym0Zz7PgGX0-kHA/edit?usp=sharing"",""แผน!L77"")"),0)</f>
        <v>0</v>
      </c>
      <c r="J99" s="880">
        <f>J104</f>
        <v>0</v>
      </c>
      <c r="K99" s="881">
        <f t="shared" ca="1" si="55"/>
        <v>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IFERROR(__xludf.DUMMYFUNCTION("IMPORTRANGE(""https://docs.google.com/spreadsheets/d/1QqKyyYR6Q21VydFLVH3TRQUabQu_ym0Zz7PgGX0-kHA/edit?usp=sharing"",""แผน!M77"")"),2)</f>
        <v>2</v>
      </c>
      <c r="J100" s="880">
        <f>J107+J110</f>
        <v>1</v>
      </c>
      <c r="K100" s="881">
        <f t="shared" ca="1" si="55"/>
        <v>50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IFERROR(__xludf.DUMMYFUNCTION("IMPORTRANGE(""https://docs.google.com/spreadsheets/d/1QqKyyYR6Q21VydFLVH3TRQUabQu_ym0Zz7PgGX0-kHA/edit?usp=sharing"",""แผน!N77"")"),0)</f>
        <v>0</v>
      </c>
      <c r="J102" s="1012">
        <v>0</v>
      </c>
      <c r="K102" s="881">
        <f t="shared" ref="K102:K104" ca="1" si="56">IF(I102&gt;0,J102*100/I102,0)</f>
        <v>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IFERROR(__xludf.DUMMYFUNCTION("IMPORTRANGE(""https://docs.google.com/spreadsheets/d/1QqKyyYR6Q21VydFLVH3TRQUabQu_ym0Zz7PgGX0-kHA/edit?usp=sharing"",""แผน!O77"")"),0)</f>
        <v>0</v>
      </c>
      <c r="J103" s="1012">
        <v>0</v>
      </c>
      <c r="K103" s="881">
        <f t="shared" ca="1" si="56"/>
        <v>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IFERROR(__xludf.DUMMYFUNCTION("IMPORTRANGE(""https://docs.google.com/spreadsheets/d/1QqKyyYR6Q21VydFLVH3TRQUabQu_ym0Zz7PgGX0-kHA/edit?usp=sharing"",""แผน!O77"")"),0)</f>
        <v>0</v>
      </c>
      <c r="J104" s="1012">
        <v>0</v>
      </c>
      <c r="K104" s="881">
        <f t="shared" ca="1" si="56"/>
        <v>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IFERROR(__xludf.DUMMYFUNCTION("IMPORTRANGE(""https://docs.google.com/spreadsheets/d/1QqKyyYR6Q21VydFLVH3TRQUabQu_ym0Zz7PgGX0-kHA/edit?usp=sharing"",""แผน!P77"")"),1)</f>
        <v>1</v>
      </c>
      <c r="J106" s="1012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IFERROR(__xludf.DUMMYFUNCTION("IMPORTRANGE(""https://docs.google.com/spreadsheets/d/1QqKyyYR6Q21VydFLVH3TRQUabQu_ym0Zz7PgGX0-kHA/edit?usp=sharing"",""แผน!P77"")"),1)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IFERROR(__xludf.DUMMYFUNCTION("IMPORTRANGE(""https://docs.google.com/spreadsheets/d/1QqKyyYR6Q21VydFLVH3TRQUabQu_ym0Zz7PgGX0-kHA/edit?usp=sharing"",""แผน!Q77"")"),1)</f>
        <v>1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IFERROR(__xludf.DUMMYFUNCTION("IMPORTRANGE(""https://docs.google.com/spreadsheets/d/1QqKyyYR6Q21VydFLVH3TRQUabQu_ym0Zz7PgGX0-kHA/edit?usp=sharing"",""แผน!Q77"")"),1)</f>
        <v>1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IFERROR(__xludf.DUMMYFUNCTION("IMPORTRANGE(""https://docs.google.com/spreadsheets/d/1QqKyyYR6Q21VydFLVH3TRQUabQu_ym0Zz7PgGX0-kHA/edit?usp=sharing"",""แผน!R77"")"),0)</f>
        <v>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2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IFERROR(__xludf.DUMMYFUNCTION("IMPORTRANGE(""https://docs.google.com/spreadsheets/d/1QqKyyYR6Q21VydFLVH3TRQUabQu_ym0Zz7PgGX0-kHA/edit?usp=sharing"",""แผน!R77"")"),0)</f>
        <v>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IFERROR(__xludf.DUMMYFUNCTION("IMPORTRANGE(""https://docs.google.com/spreadsheets/d/1QqKyyYR6Q21VydFLVH3TRQUabQu_ym0Zz7PgGX0-kHA/edit?usp=sharing"",""แผน!R77"")"),0)</f>
        <v>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IFERROR(__xludf.DUMMYFUNCTION("IMPORTRANGE(""https://docs.google.com/spreadsheets/d/1QqKyyYR6Q21VydFLVH3TRQUabQu_ym0Zz7PgGX0-kHA/edit?usp=sharing"",""แผน!S77"")"),1)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IFERROR(__xludf.DUMMYFUNCTION("IMPORTRANGE(""https://docs.google.com/spreadsheets/d/1QqKyyYR6Q21VydFLVH3TRQUabQu_ym0Zz7PgGX0-kHA/edit?usp=sharing"",""แผน!T77"")"),1)</f>
        <v>1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>
        <v>0</v>
      </c>
      <c r="J118" s="1027">
        <v>0</v>
      </c>
      <c r="K118" s="984">
        <v>0</v>
      </c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IFERROR(__xludf.DUMMYFUNCTION("IMPORTRANGE(""https://docs.google.com/spreadsheets/d/1MeEWN-I1oV_STSDYn1IFDPWt_1FKiwhDph83XaGc0o0/edit?usp=sharing"",""งบพรบ!BA77"")"),0)</f>
        <v>0</v>
      </c>
      <c r="M124" s="887">
        <f ca="1">IFERROR(__xludf.DUMMYFUNCTION("IMPORTRANGE(""https://docs.google.com/spreadsheets/d/1MeEWN-I1oV_STSDYn1IFDPWt_1FKiwhDph83XaGc0o0/edit?usp=sharing"",""งบพรบ!BF77"")"),0)</f>
        <v>0</v>
      </c>
      <c r="N124" s="887">
        <f ca="1">IFERROR(__xludf.DUMMYFUNCTION("IMPORTRANGE(""https://docs.google.com/spreadsheets/d/1MeEWN-I1oV_STSDYn1IFDPWt_1FKiwhDph83XaGc0o0/edit?usp=sharing"",""งบพรบ!BH77"")"),0)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IFERROR(__xludf.DUMMYFUNCTION("IMPORTRANGE(""https://docs.google.com/spreadsheets/d/1MeEWN-I1oV_STSDYn1IFDPWt_1FKiwhDph83XaGc0o0/edit?usp=sharing"",""งบพรบ!BD77"")"),0)</f>
        <v>0</v>
      </c>
      <c r="M127" s="887">
        <f ca="1">IFERROR(__xludf.DUMMYFUNCTION("IMPORTRANGE(""https://docs.google.com/spreadsheets/d/1MeEWN-I1oV_STSDYn1IFDPWt_1FKiwhDph83XaGc0o0/edit?usp=sharing"",""งบพรบ!BG77"")"),0)</f>
        <v>0</v>
      </c>
      <c r="N127" s="887">
        <f ca="1">IFERROR(__xludf.DUMMYFUNCTION("IMPORTRANGE(""https://docs.google.com/spreadsheets/d/1MeEWN-I1oV_STSDYn1IFDPWt_1FKiwhDph83XaGc0o0/edit?usp=sharing"",""งบพรบ!BI77"")"),0)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IFERROR(__xludf.DUMMYFUNCTION("IMPORTRANGE(""https://docs.google.com/spreadsheets/d/1MeEWN-I1oV_STSDYn1IFDPWt_1FKiwhDph83XaGc0o0/edit?usp=sharing"",""งบพรบ!BK77"")"),0)</f>
        <v>0</v>
      </c>
      <c r="M137" s="887">
        <f ca="1">IFERROR(__xludf.DUMMYFUNCTION("IMPORTRANGE(""https://docs.google.com/spreadsheets/d/1MeEWN-I1oV_STSDYn1IFDPWt_1FKiwhDph83XaGc0o0/edit?usp=sharing"",""งบพรบ!BP77"")"),0)</f>
        <v>0</v>
      </c>
      <c r="N137" s="887">
        <f ca="1">IFERROR(__xludf.DUMMYFUNCTION("IMPORTRANGE(""https://docs.google.com/spreadsheets/d/1MeEWN-I1oV_STSDYn1IFDPWt_1FKiwhDph83XaGc0o0/edit?usp=sharing"",""งบพรบ!BR77"")"),0)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IFERROR(__xludf.DUMMYFUNCTION("IMPORTRANGE(""https://docs.google.com/spreadsheets/d/1MeEWN-I1oV_STSDYn1IFDPWt_1FKiwhDph83XaGc0o0/edit?usp=sharing"",""งบพรบ!BN77"")"),0)</f>
        <v>0</v>
      </c>
      <c r="M140" s="887">
        <f ca="1">IFERROR(__xludf.DUMMYFUNCTION("IMPORTRANGE(""https://docs.google.com/spreadsheets/d/1MeEWN-I1oV_STSDYn1IFDPWt_1FKiwhDph83XaGc0o0/edit?usp=sharing"",""งบพรบ!BQ77"")"),0)</f>
        <v>0</v>
      </c>
      <c r="N140" s="887">
        <f ca="1">IFERROR(__xludf.DUMMYFUNCTION("IMPORTRANGE(""https://docs.google.com/spreadsheets/d/1MeEWN-I1oV_STSDYn1IFDPWt_1FKiwhDph83XaGc0o0/edit?usp=sharing"",""งบพรบ!BS77"")"),0)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IFERROR(__xludf.DUMMYFUNCTION("IMPORTRANGE(""https://docs.google.com/spreadsheets/d/1QqKyyYR6Q21VydFLVH3TRQUabQu_ym0Zz7PgGX0-kHA/edit?usp=sharing"",""แผน!U77"")"),0)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IFERROR(__xludf.DUMMYFUNCTION("IMPORTRANGE(""https://docs.google.com/spreadsheets/d/1QqKyyYR6Q21VydFLVH3TRQUabQu_ym0Zz7PgGX0-kHA/edit?usp=sharing"",""แผน!V77"")"),0)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IFERROR(__xludf.DUMMYFUNCTION("IMPORTRANGE(""https://docs.google.com/spreadsheets/d/1QqKyyYR6Q21VydFLVH3TRQUabQu_ym0Zz7PgGX0-kHA/edit?usp=sharing"",""แผน!W77"")"),0)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IFERROR(__xludf.DUMMYFUNCTION("IMPORTRANGE(""https://docs.google.com/spreadsheets/d/1MeEWN-I1oV_STSDYn1IFDPWt_1FKiwhDph83XaGc0o0/edit?usp=sharing"",""งบพรบ!BU77"")"),0)</f>
        <v>0</v>
      </c>
      <c r="M154" s="887">
        <f ca="1">IFERROR(__xludf.DUMMYFUNCTION("IMPORTRANGE(""https://docs.google.com/spreadsheets/d/1MeEWN-I1oV_STSDYn1IFDPWt_1FKiwhDph83XaGc0o0/edit?usp=sharing"",""งบพรบ!BZ77"")"),0)</f>
        <v>0</v>
      </c>
      <c r="N154" s="887">
        <f ca="1">IFERROR(__xludf.DUMMYFUNCTION("IMPORTRANGE(""https://docs.google.com/spreadsheets/d/1MeEWN-I1oV_STSDYn1IFDPWt_1FKiwhDph83XaGc0o0/edit?usp=sharing"",""งบพรบ!CB77"")"),0)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IFERROR(__xludf.DUMMYFUNCTION("IMPORTRANGE(""https://docs.google.com/spreadsheets/d/1MeEWN-I1oV_STSDYn1IFDPWt_1FKiwhDph83XaGc0o0/edit?usp=sharing"",""งบพรบ!BX77"")"),0)</f>
        <v>0</v>
      </c>
      <c r="M157" s="887">
        <f ca="1">IFERROR(__xludf.DUMMYFUNCTION("IMPORTRANGE(""https://docs.google.com/spreadsheets/d/1MeEWN-I1oV_STSDYn1IFDPWt_1FKiwhDph83XaGc0o0/edit?usp=sharing"",""งบพรบ!CA77"")"),0)</f>
        <v>0</v>
      </c>
      <c r="N157" s="887">
        <f ca="1">IFERROR(__xludf.DUMMYFUNCTION("IMPORTRANGE(""https://docs.google.com/spreadsheets/d/1MeEWN-I1oV_STSDYn1IFDPWt_1FKiwhDph83XaGc0o0/edit?usp=sharing"",""งบพรบ!CC77"")"),0)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IFERROR(__xludf.DUMMYFUNCTION("IMPORTRANGE(""https://docs.google.com/spreadsheets/d/1QqKyyYR6Q21VydFLVH3TRQUabQu_ym0Zz7PgGX0-kHA/edit?usp=sharing"",""แผน!X77"")"),0)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13</v>
      </c>
      <c r="J164" s="1075">
        <f t="shared" si="83"/>
        <v>13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24065</v>
      </c>
      <c r="M165" s="992">
        <f t="shared" ca="1" si="84"/>
        <v>41315</v>
      </c>
      <c r="N165" s="992">
        <f t="shared" ca="1" si="84"/>
        <v>41315</v>
      </c>
      <c r="O165" s="992">
        <f t="shared" ref="O165:O173" ca="1" si="85">IF(L165&gt;0,N165*100/L165,0)</f>
        <v>171.68086432578434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24065</v>
      </c>
      <c r="M167" s="887">
        <f t="shared" ca="1" si="87"/>
        <v>41315</v>
      </c>
      <c r="N167" s="887">
        <f t="shared" ca="1" si="87"/>
        <v>41315</v>
      </c>
      <c r="O167" s="887">
        <f t="shared" ca="1" si="85"/>
        <v>171.68086432578434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24065</v>
      </c>
      <c r="M168" s="881">
        <f t="shared" ca="1" si="88"/>
        <v>41315</v>
      </c>
      <c r="N168" s="881">
        <f t="shared" ca="1" si="88"/>
        <v>41315</v>
      </c>
      <c r="O168" s="881">
        <f t="shared" ca="1" si="85"/>
        <v>171.68086432578434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IFERROR(__xludf.DUMMYFUNCTION("IMPORTRANGE(""https://docs.google.com/spreadsheets/d/1MeEWN-I1oV_STSDYn1IFDPWt_1FKiwhDph83XaGc0o0/edit?usp=sharing"",""งบพรบ!CE77"")"),24065)</f>
        <v>24065</v>
      </c>
      <c r="M170" s="887">
        <f ca="1">IFERROR(__xludf.DUMMYFUNCTION("IMPORTRANGE(""https://docs.google.com/spreadsheets/d/1MeEWN-I1oV_STSDYn1IFDPWt_1FKiwhDph83XaGc0o0/edit?usp=sharing"",""งบพรบ!CJ77"")"),41315)</f>
        <v>41315</v>
      </c>
      <c r="N170" s="887">
        <f ca="1">IFERROR(__xludf.DUMMYFUNCTION("IMPORTRANGE(""https://docs.google.com/spreadsheets/d/1MeEWN-I1oV_STSDYn1IFDPWt_1FKiwhDph83XaGc0o0/edit?usp=sharing"",""งบพรบ!CL77"")"),41315)</f>
        <v>41315</v>
      </c>
      <c r="O170" s="887">
        <f t="shared" ca="1" si="85"/>
        <v>171.68086432578434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IFERROR(__xludf.DUMMYFUNCTION("IMPORTRANGE(""https://docs.google.com/spreadsheets/d/1MeEWN-I1oV_STSDYn1IFDPWt_1FKiwhDph83XaGc0o0/edit?usp=sharing"",""งบพรบ!CH77"")"),0)</f>
        <v>0</v>
      </c>
      <c r="M173" s="887">
        <f ca="1">IFERROR(__xludf.DUMMYFUNCTION("IMPORTRANGE(""https://docs.google.com/spreadsheets/d/1MeEWN-I1oV_STSDYn1IFDPWt_1FKiwhDph83XaGc0o0/edit?usp=sharing"",""งบพรบ!CK77"")"),0)</f>
        <v>0</v>
      </c>
      <c r="N173" s="887">
        <f ca="1">IFERROR(__xludf.DUMMYFUNCTION("IMPORTRANGE(""https://docs.google.com/spreadsheets/d/1MeEWN-I1oV_STSDYn1IFDPWt_1FKiwhDph83XaGc0o0/edit?usp=sharing"",""งบพรบ!CM77"")"),0)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13</v>
      </c>
      <c r="J174" s="1067">
        <f t="shared" si="90"/>
        <v>13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IFERROR(__xludf.DUMMYFUNCTION("IMPORTRANGE(""https://docs.google.com/spreadsheets/d/1QqKyyYR6Q21VydFLVH3TRQUabQu_ym0Zz7PgGX0-kHA/edit?usp=sharing"",""แผน!Y77"")"),13)</f>
        <v>13</v>
      </c>
      <c r="J176" s="1012">
        <v>13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10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206200</v>
      </c>
      <c r="M181" s="992">
        <f t="shared" ca="1" si="92"/>
        <v>158525</v>
      </c>
      <c r="N181" s="992">
        <f t="shared" ca="1" si="92"/>
        <v>139728.73000000001</v>
      </c>
      <c r="O181" s="992">
        <f t="shared" ref="O181:O189" ca="1" si="93">IF(L181&gt;0,N181*100/L181,0)</f>
        <v>67.763690591658587</v>
      </c>
      <c r="P181" s="992">
        <f t="shared" ref="P181:P189" ca="1" si="94">IF(M181&gt;0,N181*100/M181,0)</f>
        <v>88.143024759501671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206200</v>
      </c>
      <c r="M183" s="887">
        <f t="shared" ca="1" si="95"/>
        <v>158525</v>
      </c>
      <c r="N183" s="887">
        <f t="shared" ca="1" si="95"/>
        <v>139728.73000000001</v>
      </c>
      <c r="O183" s="887">
        <f t="shared" ca="1" si="93"/>
        <v>67.763690591658587</v>
      </c>
      <c r="P183" s="887">
        <f t="shared" ca="1" si="94"/>
        <v>88.143024759501671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206200</v>
      </c>
      <c r="M184" s="881">
        <f t="shared" ca="1" si="96"/>
        <v>158525</v>
      </c>
      <c r="N184" s="881">
        <f t="shared" ca="1" si="96"/>
        <v>139728.73000000001</v>
      </c>
      <c r="O184" s="881">
        <f t="shared" ca="1" si="93"/>
        <v>67.763690591658587</v>
      </c>
      <c r="P184" s="881">
        <f t="shared" ca="1" si="94"/>
        <v>88.143024759501671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IFERROR(__xludf.DUMMYFUNCTION("IMPORTRANGE(""https://docs.google.com/spreadsheets/d/1MeEWN-I1oV_STSDYn1IFDPWt_1FKiwhDph83XaGc0o0/edit?usp=sharing"",""งบพรบ!CO77"")"),206200)</f>
        <v>206200</v>
      </c>
      <c r="M186" s="887">
        <f ca="1">IFERROR(__xludf.DUMMYFUNCTION("IMPORTRANGE(""https://docs.google.com/spreadsheets/d/1MeEWN-I1oV_STSDYn1IFDPWt_1FKiwhDph83XaGc0o0/edit?usp=sharing"",""งบพรบ!CT77"")"),158525)</f>
        <v>158525</v>
      </c>
      <c r="N186" s="887">
        <f ca="1">IFERROR(__xludf.DUMMYFUNCTION("IMPORTRANGE(""https://docs.google.com/spreadsheets/d/1MeEWN-I1oV_STSDYn1IFDPWt_1FKiwhDph83XaGc0o0/edit?usp=sharing"",""งบพรบ!CV77"")"),139728.73)</f>
        <v>139728.73000000001</v>
      </c>
      <c r="O186" s="887">
        <f t="shared" ca="1" si="93"/>
        <v>67.763690591658587</v>
      </c>
      <c r="P186" s="887">
        <f t="shared" ca="1" si="94"/>
        <v>88.143024759501671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IFERROR(__xludf.DUMMYFUNCTION("IMPORTRANGE(""https://docs.google.com/spreadsheets/d/1MeEWN-I1oV_STSDYn1IFDPWt_1FKiwhDph83XaGc0o0/edit?usp=sharing"",""งบพรบ!CR77"")"),0)</f>
        <v>0</v>
      </c>
      <c r="M189" s="887">
        <f ca="1">IFERROR(__xludf.DUMMYFUNCTION("IMPORTRANGE(""https://docs.google.com/spreadsheets/d/1MeEWN-I1oV_STSDYn1IFDPWt_1FKiwhDph83XaGc0o0/edit?usp=sharing"",""งบพรบ!CU77"")"),0)</f>
        <v>0</v>
      </c>
      <c r="N189" s="887">
        <f ca="1">IFERROR(__xludf.DUMMYFUNCTION("IMPORTRANGE(""https://docs.google.com/spreadsheets/d/1MeEWN-I1oV_STSDYn1IFDPWt_1FKiwhDph83XaGc0o0/edit?usp=sharing"",""งบพรบ!CW77"")"),0)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IFERROR(__xludf.DUMMYFUNCTION("IMPORTRANGE(""https://docs.google.com/spreadsheets/d/1QqKyyYR6Q21VydFLVH3TRQUabQu_ym0Zz7PgGX0-kHA/edit?usp=sharing"",""แผน!Z77"")"),6000)</f>
        <v>6000</v>
      </c>
      <c r="M191" s="992"/>
      <c r="N191" s="1081">
        <v>480</v>
      </c>
      <c r="O191" s="992">
        <f ca="1">IF(L191&gt;0,N191*100/L191,0)</f>
        <v>8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IFERROR(__xludf.DUMMYFUNCTION("IMPORTRANGE(""https://docs.google.com/spreadsheets/d/1QqKyyYR6Q21VydFLVH3TRQUabQu_ym0Zz7PgGX0-kHA/edit?usp=sharing"",""แผน!AC77"")"),4)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62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62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1</v>
      </c>
      <c r="J197" s="1078">
        <f t="shared" si="99"/>
        <v>1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13000</v>
      </c>
      <c r="M198" s="992"/>
      <c r="N198" s="992">
        <f>N199+N200+N201+N202</f>
        <v>12223.619999999999</v>
      </c>
      <c r="O198" s="992">
        <f ca="1">IF(L198&gt;0,N198*100/L198,0)</f>
        <v>94.027846153846156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IFERROR(__xludf.DUMMYFUNCTION("IMPORTRANGE(""https://docs.google.com/spreadsheets/d/1QqKyyYR6Q21VydFLVH3TRQUabQu_ym0Zz7PgGX0-kHA/edit?usp=sharing"",""แผน!AE77"")"),1000)</f>
        <v>1000</v>
      </c>
      <c r="M199" s="881"/>
      <c r="N199" s="1085">
        <v>240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IFERROR(__xludf.DUMMYFUNCTION("IMPORTRANGE(""https://docs.google.com/spreadsheets/d/1QqKyyYR6Q21VydFLVH3TRQUabQu_ym0Zz7PgGX0-kHA/edit?usp=sharing"",""แผน!AF77"")"),8000)</f>
        <v>8000</v>
      </c>
      <c r="M200" s="881"/>
      <c r="N200" s="1085">
        <v>7983.62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IFERROR(__xludf.DUMMYFUNCTION("IMPORTRANGE(""https://docs.google.com/spreadsheets/d/1QqKyyYR6Q21VydFLVH3TRQUabQu_ym0Zz7PgGX0-kHA/edit?usp=sharing"",""แผน!AG77"")"),4000)</f>
        <v>4000</v>
      </c>
      <c r="M201" s="881"/>
      <c r="N201" s="1085">
        <v>4000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IFERROR(__xludf.DUMMYFUNCTION("IMPORTRANGE(""https://docs.google.com/spreadsheets/d/1QqKyyYR6Q21VydFLVH3TRQUabQu_ym0Zz7PgGX0-kHA/edit?usp=sharing"",""แผน!AH77"")"),0)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IFERROR(__xludf.DUMMYFUNCTION("IMPORTRANGE(""https://docs.google.com/spreadsheets/d/1QqKyyYR6Q21VydFLVH3TRQUabQu_ym0Zz7PgGX0-kHA/edit?usp=sharing"",""แผน!AI77"")"),1)</f>
        <v>1</v>
      </c>
      <c r="J204" s="1012">
        <v>1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1</v>
      </c>
      <c r="J206" s="1012">
        <v>1</v>
      </c>
      <c r="K206" s="998">
        <f t="shared" ref="K206:K208" si="100">IF(I206&gt;0,J206*100/I206,0)</f>
        <v>100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IFERROR(__xludf.DUMMYFUNCTION("IMPORTRANGE(""https://docs.google.com/spreadsheets/d/1QqKyyYR6Q21VydFLVH3TRQUabQu_ym0Zz7PgGX0-kHA/edit?usp=sharing"",""แผน!AK77"")"),0)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IFERROR(__xludf.DUMMYFUNCTION("IMPORTRANGE(""https://docs.google.com/spreadsheets/d/1QqKyyYR6Q21VydFLVH3TRQUabQu_ym0Zz7PgGX0-kHA/edit?usp=sharing"",""แผน!AL77"")"),0)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IFERROR(__xludf.DUMMYFUNCTION("IMPORTRANGE(""https://docs.google.com/spreadsheets/d/1QqKyyYR6Q21VydFLVH3TRQUabQu_ym0Zz7PgGX0-kHA/edit?usp=sharing"",""แผน!AM77"")"),0)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IFERROR(__xludf.DUMMYFUNCTION("IMPORTRANGE(""https://docs.google.com/spreadsheets/d/1QqKyyYR6Q21VydFLVH3TRQUabQu_ym0Zz7PgGX0-kHA/edit?usp=sharing"",""แผน!AN77"")"),0)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IFERROR(__xludf.DUMMYFUNCTION("IMPORTRANGE(""https://docs.google.com/spreadsheets/d/1QqKyyYR6Q21VydFLVH3TRQUabQu_ym0Zz7PgGX0-kHA/edit?usp=sharing"",""แผน!AN77"")"),0)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10000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16500</v>
      </c>
      <c r="M217" s="992"/>
      <c r="N217" s="992">
        <f>N218+N219+N220</f>
        <v>10546.7</v>
      </c>
      <c r="O217" s="992">
        <f ca="1">IF(L217&gt;0,N217*100/L217,0)</f>
        <v>63.919393939393942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IFERROR(__xludf.DUMMYFUNCTION("IMPORTRANGE(""https://docs.google.com/spreadsheets/d/1QqKyyYR6Q21VydFLVH3TRQUabQu_ym0Zz7PgGX0-kHA/edit?usp=sharing"",""แผน!AP77"")"),3000)</f>
        <v>3000</v>
      </c>
      <c r="M218" s="881"/>
      <c r="N218" s="1085">
        <f>1000+100+600</f>
        <v>1700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IFERROR(__xludf.DUMMYFUNCTION("IMPORTRANGE(""https://docs.google.com/spreadsheets/d/1QqKyyYR6Q21VydFLVH3TRQUabQu_ym0Zz7PgGX0-kHA/edit?usp=sharing"",""แผน!AQ77"")"),3500)</f>
        <v>3500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IFERROR(__xludf.DUMMYFUNCTION("IMPORTRANGE(""https://docs.google.com/spreadsheets/d/1QqKyyYR6Q21VydFLVH3TRQUabQu_ym0Zz7PgGX0-kHA/edit?usp=sharing"",""แผน!AR77"")"),10000)</f>
        <v>10000</v>
      </c>
      <c r="M220" s="881"/>
      <c r="N220" s="1085">
        <f>7420+560+866.7</f>
        <v>8846.7000000000007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IFERROR(__xludf.DUMMYFUNCTION("IMPORTRANGE(""https://docs.google.com/spreadsheets/d/1QqKyyYR6Q21VydFLVH3TRQUabQu_ym0Zz7PgGX0-kHA/edit?usp=sharing"",""แผน!AT77"")"),10000)</f>
        <v>10000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IFERROR(__xludf.DUMMYFUNCTION("IMPORTRANGE(""https://docs.google.com/spreadsheets/d/1QqKyyYR6Q21VydFLVH3TRQUabQu_ym0Zz7PgGX0-kHA/edit?usp=sharing"",""แผน!AT77"")"),10000)</f>
        <v>10000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IFERROR(__xludf.DUMMYFUNCTION("IMPORTRANGE(""https://docs.google.com/spreadsheets/d/1QqKyyYR6Q21VydFLVH3TRQUabQu_ym0Zz7PgGX0-kHA/edit?usp=sharing"",""แผน!AS77"")"),10)</f>
        <v>10</v>
      </c>
      <c r="J225" s="1012">
        <v>10</v>
      </c>
      <c r="K225" s="998">
        <f t="shared" ca="1" si="104"/>
        <v>100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IFERROR(__xludf.DUMMYFUNCTION("IMPORTRANGE(""https://docs.google.com/spreadsheets/d/1QqKyyYR6Q21VydFLVH3TRQUabQu_ym0Zz7PgGX0-kHA/edit?usp=sharing"",""แผน!AV77"")"),0)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IFERROR(__xludf.DUMMYFUNCTION("IMPORTRANGE(""https://docs.google.com/spreadsheets/d/1QqKyyYR6Q21VydFLVH3TRQUabQu_ym0Zz7PgGX0-kHA/edit?usp=sharing"",""แผน!AW77"")"),0)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IFERROR(__xludf.DUMMYFUNCTION("IMPORTRANGE(""https://docs.google.com/spreadsheets/d/1QqKyyYR6Q21VydFLVH3TRQUabQu_ym0Zz7PgGX0-kHA/edit?usp=sharing"",""แผน!AX77"")"),0)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IFERROR(__xludf.DUMMYFUNCTION("IMPORTRANGE(""https://docs.google.com/spreadsheets/d/1QqKyyYR6Q21VydFLVH3TRQUabQu_ym0Zz7PgGX0-kHA/edit?usp=sharing"",""แผน!AY77"")"),0)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IFERROR(__xludf.DUMMYFUNCTION("IMPORTRANGE(""https://docs.google.com/spreadsheets/d/1QqKyyYR6Q21VydFLVH3TRQUabQu_ym0Zz7PgGX0-kHA/edit?usp=sharing"",""แผน!BE77"")"),0)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IFERROR(__xludf.DUMMYFUNCTION("IMPORTRANGE(""https://docs.google.com/spreadsheets/d/1QqKyyYR6Q21VydFLVH3TRQUabQu_ym0Zz7PgGX0-kHA/edit?usp=sharing"",""แผน!AZ77"")"),0)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IFERROR(__xludf.DUMMYFUNCTION("IMPORTRANGE(""https://docs.google.com/spreadsheets/d/1QqKyyYR6Q21VydFLVH3TRQUabQu_ym0Zz7PgGX0-kHA/edit?usp=sharing"",""แผน!BA77"")"),0)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IFERROR(__xludf.DUMMYFUNCTION("IMPORTRANGE(""https://docs.google.com/spreadsheets/d/1QqKyyYR6Q21VydFLVH3TRQUabQu_ym0Zz7PgGX0-kHA/edit?usp=sharing"",""แผน!BB77"")"),0)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IFERROR(__xludf.DUMMYFUNCTION("IMPORTRANGE(""https://docs.google.com/spreadsheets/d/1QqKyyYR6Q21VydFLVH3TRQUabQu_ym0Zz7PgGX0-kHA/edit?usp=sharing"",""แผน!BC77"")"),0)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IFERROR(__xludf.DUMMYFUNCTION("IMPORTRANGE(""https://docs.google.com/spreadsheets/d/1QqKyyYR6Q21VydFLVH3TRQUabQu_ym0Zz7PgGX0-kHA/edit?usp=sharing"",""แผน!BF77"")"),"")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22</v>
      </c>
      <c r="J260" s="1075">
        <f t="shared" si="115"/>
        <v>22</v>
      </c>
      <c r="K260" s="1076">
        <f ca="1">IF(I260&gt;0,J260*100/I260,0)</f>
        <v>100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26900</v>
      </c>
      <c r="M261" s="992">
        <f t="shared" ca="1" si="116"/>
        <v>23900</v>
      </c>
      <c r="N261" s="992">
        <f t="shared" ca="1" si="116"/>
        <v>20900</v>
      </c>
      <c r="O261" s="992">
        <f t="shared" ref="O261:O269" ca="1" si="117">IF(L261&gt;0,N261*100/L261,0)</f>
        <v>77.695167286245351</v>
      </c>
      <c r="P261" s="992">
        <f t="shared" ref="P261:P269" ca="1" si="118">IF(M261&gt;0,N261*100/M261,0)</f>
        <v>87.44769874476988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26900</v>
      </c>
      <c r="M263" s="887">
        <f t="shared" ca="1" si="119"/>
        <v>23900</v>
      </c>
      <c r="N263" s="887">
        <f t="shared" ca="1" si="119"/>
        <v>20900</v>
      </c>
      <c r="O263" s="887">
        <f t="shared" ca="1" si="117"/>
        <v>77.695167286245351</v>
      </c>
      <c r="P263" s="887">
        <f t="shared" ca="1" si="118"/>
        <v>87.44769874476988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26900</v>
      </c>
      <c r="M264" s="881">
        <f t="shared" ca="1" si="120"/>
        <v>23900</v>
      </c>
      <c r="N264" s="881">
        <f t="shared" ca="1" si="120"/>
        <v>20900</v>
      </c>
      <c r="O264" s="881">
        <f t="shared" ca="1" si="117"/>
        <v>77.695167286245351</v>
      </c>
      <c r="P264" s="881">
        <f t="shared" ca="1" si="118"/>
        <v>87.44769874476988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IFERROR(__xludf.DUMMYFUNCTION("IMPORTRANGE(""https://docs.google.com/spreadsheets/d/1MeEWN-I1oV_STSDYn1IFDPWt_1FKiwhDph83XaGc0o0/edit?usp=sharing"",""งบพรบ!CY77"")"),26900)</f>
        <v>26900</v>
      </c>
      <c r="M266" s="887">
        <f ca="1">IFERROR(__xludf.DUMMYFUNCTION("IMPORTRANGE(""https://docs.google.com/spreadsheets/d/1MeEWN-I1oV_STSDYn1IFDPWt_1FKiwhDph83XaGc0o0/edit?usp=sharing"",""งบพรบ!DD77"")"),23900)</f>
        <v>23900</v>
      </c>
      <c r="N266" s="887">
        <f ca="1">IFERROR(__xludf.DUMMYFUNCTION("IMPORTRANGE(""https://docs.google.com/spreadsheets/d/1MeEWN-I1oV_STSDYn1IFDPWt_1FKiwhDph83XaGc0o0/edit?usp=sharing"",""งบพรบ!DF77"")"),20900)</f>
        <v>20900</v>
      </c>
      <c r="O266" s="887">
        <f t="shared" ca="1" si="117"/>
        <v>77.695167286245351</v>
      </c>
      <c r="P266" s="887">
        <f t="shared" ca="1" si="118"/>
        <v>87.44769874476988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IFERROR(__xludf.DUMMYFUNCTION("IMPORTRANGE(""https://docs.google.com/spreadsheets/d/1MeEWN-I1oV_STSDYn1IFDPWt_1FKiwhDph83XaGc0o0/edit?usp=sharing"",""งบพรบ!DB77"")"),0)</f>
        <v>0</v>
      </c>
      <c r="M269" s="887">
        <f ca="1">IFERROR(__xludf.DUMMYFUNCTION("IMPORTRANGE(""https://docs.google.com/spreadsheets/d/1MeEWN-I1oV_STSDYn1IFDPWt_1FKiwhDph83XaGc0o0/edit?usp=sharing"",""งบพรบ!DE77"")"),0)</f>
        <v>0</v>
      </c>
      <c r="N269" s="887">
        <f ca="1">IFERROR(__xludf.DUMMYFUNCTION("IMPORTRANGE(""https://docs.google.com/spreadsheets/d/1MeEWN-I1oV_STSDYn1IFDPWt_1FKiwhDph83XaGc0o0/edit?usp=sharing"",""งบพรบ!DG77"")"),0)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IFERROR(__xludf.DUMMYFUNCTION("IMPORTRANGE(""https://docs.google.com/spreadsheets/d/1QqKyyYR6Q21VydFLVH3TRQUabQu_ym0Zz7PgGX0-kHA/edit?usp=sharing"",""แผน!EA77"")"),22)</f>
        <v>22</v>
      </c>
      <c r="J271" s="1012">
        <v>22</v>
      </c>
      <c r="K271" s="998">
        <f ca="1">IF(I271&gt;0,J271*100/I271,0)</f>
        <v>100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IFERROR(__xludf.DUMMYFUNCTION("IMPORTRANGE(""https://docs.google.com/spreadsheets/d/1MeEWN-I1oV_STSDYn1IFDPWt_1FKiwhDph83XaGc0o0/edit?usp=sharing"",""งบพรบ!DI77"")"),0)</f>
        <v>0</v>
      </c>
      <c r="M282" s="887">
        <f ca="1">IFERROR(__xludf.DUMMYFUNCTION("IMPORTRANGE(""https://docs.google.com/spreadsheets/d/1MeEWN-I1oV_STSDYn1IFDPWt_1FKiwhDph83XaGc0o0/edit?usp=sharing"",""งบพรบ!DN77"")"),0)</f>
        <v>0</v>
      </c>
      <c r="N282" s="887">
        <f ca="1">IFERROR(__xludf.DUMMYFUNCTION("IMPORTRANGE(""https://docs.google.com/spreadsheets/d/1MeEWN-I1oV_STSDYn1IFDPWt_1FKiwhDph83XaGc0o0/edit?usp=sharing"",""งบพรบ!DP77"")"),0)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IFERROR(__xludf.DUMMYFUNCTION("IMPORTRANGE(""https://docs.google.com/spreadsheets/d/1MeEWN-I1oV_STSDYn1IFDPWt_1FKiwhDph83XaGc0o0/edit?usp=sharing"",""งบพรบ!DL77"")"),0)</f>
        <v>0</v>
      </c>
      <c r="M285" s="887">
        <f ca="1">IFERROR(__xludf.DUMMYFUNCTION("IMPORTRANGE(""https://docs.google.com/spreadsheets/d/1MeEWN-I1oV_STSDYn1IFDPWt_1FKiwhDph83XaGc0o0/edit?usp=sharing"",""งบพรบ!DO77"")"),0)</f>
        <v>0</v>
      </c>
      <c r="N285" s="887">
        <f ca="1">IFERROR(__xludf.DUMMYFUNCTION("IMPORTRANGE(""https://docs.google.com/spreadsheets/d/1MeEWN-I1oV_STSDYn1IFDPWt_1FKiwhDph83XaGc0o0/edit?usp=sharing"",""งบพรบ!DQ77"")"),0)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IFERROR(__xludf.DUMMYFUNCTION("IMPORTRANGE(""https://docs.google.com/spreadsheets/d/1QqKyyYR6Q21VydFLVH3TRQUabQu_ym0Zz7PgGX0-kHA/edit?usp=sharing"",""แผน!EC77"")"),0)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IFERROR(__xludf.DUMMYFUNCTION("IMPORTRANGE(""https://docs.google.com/spreadsheets/d/1QqKyyYR6Q21VydFLVH3TRQUabQu_ym0Zz7PgGX0-kHA/edit?usp=sharing"",""แผน!EB77"")"),0)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IFERROR(__xludf.DUMMYFUNCTION("IMPORTRANGE(""https://docs.google.com/spreadsheets/d/1QqKyyYR6Q21VydFLVH3TRQUabQu_ym0Zz7PgGX0-kHA/edit?usp=sharing"",""แผน!EB77"")"),0)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IFERROR(__xludf.DUMMYFUNCTION("IMPORTRANGE(""https://docs.google.com/spreadsheets/d/1QqKyyYR6Q21VydFLVH3TRQUabQu_ym0Zz7PgGX0-kHA/edit?usp=sharing"",""แผน!EB77"")"),0)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IFERROR(__xludf.DUMMYFUNCTION("IMPORTRANGE(""https://docs.google.com/spreadsheets/d/1QqKyyYR6Q21VydFLVH3TRQUabQu_ym0Zz7PgGX0-kHA/edit?usp=sharing"",""แผน!EB77"")"),0)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IFERROR(__xludf.DUMMYFUNCTION("IMPORTRANGE(""https://docs.google.com/spreadsheets/d/1QqKyyYR6Q21VydFLVH3TRQUabQu_ym0Zz7PgGX0-kHA/edit?usp=sharing"",""แผน!EB77"")"),0)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0</v>
      </c>
      <c r="J297" s="1190">
        <f t="shared" si="134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0</v>
      </c>
      <c r="M298" s="992">
        <f t="shared" ca="1" si="135"/>
        <v>0</v>
      </c>
      <c r="N298" s="992">
        <f t="shared" ca="1" si="135"/>
        <v>0</v>
      </c>
      <c r="O298" s="992">
        <f t="shared" ref="O298:O306" ca="1" si="136">IF(L298&gt;0,N298*100/L298,0)</f>
        <v>0</v>
      </c>
      <c r="P298" s="992">
        <f t="shared" ref="P298:P306" ca="1" si="137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0</v>
      </c>
      <c r="M300" s="887">
        <f t="shared" ca="1" si="138"/>
        <v>0</v>
      </c>
      <c r="N300" s="887">
        <f t="shared" ca="1" si="138"/>
        <v>0</v>
      </c>
      <c r="O300" s="887">
        <f t="shared" ca="1" si="136"/>
        <v>0</v>
      </c>
      <c r="P300" s="887">
        <f t="shared" ca="1" si="137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0</v>
      </c>
      <c r="M301" s="881">
        <f t="shared" ca="1" si="139"/>
        <v>0</v>
      </c>
      <c r="N301" s="881">
        <f t="shared" ca="1" si="139"/>
        <v>0</v>
      </c>
      <c r="O301" s="881">
        <f t="shared" ca="1" si="136"/>
        <v>0</v>
      </c>
      <c r="P301" s="881">
        <f t="shared" ca="1" si="137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IFERROR(__xludf.DUMMYFUNCTION("IMPORTRANGE(""https://docs.google.com/spreadsheets/d/1MeEWN-I1oV_STSDYn1IFDPWt_1FKiwhDph83XaGc0o0/edit?usp=sharing"",""งบพรบ!DS77"")"),0)</f>
        <v>0</v>
      </c>
      <c r="M303" s="887">
        <f ca="1">IFERROR(__xludf.DUMMYFUNCTION("IMPORTRANGE(""https://docs.google.com/spreadsheets/d/1MeEWN-I1oV_STSDYn1IFDPWt_1FKiwhDph83XaGc0o0/edit?usp=sharing"",""งบพรบ!DX77"")"),0)</f>
        <v>0</v>
      </c>
      <c r="N303" s="887">
        <f ca="1">IFERROR(__xludf.DUMMYFUNCTION("IMPORTRANGE(""https://docs.google.com/spreadsheets/d/1MeEWN-I1oV_STSDYn1IFDPWt_1FKiwhDph83XaGc0o0/edit?usp=sharing"",""งบพรบ!DZ77"")"),0)</f>
        <v>0</v>
      </c>
      <c r="O303" s="887">
        <f t="shared" ca="1" si="136"/>
        <v>0</v>
      </c>
      <c r="P303" s="887">
        <f t="shared" ca="1" si="137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IFERROR(__xludf.DUMMYFUNCTION("IMPORTRANGE(""https://docs.google.com/spreadsheets/d/1MeEWN-I1oV_STSDYn1IFDPWt_1FKiwhDph83XaGc0o0/edit?usp=sharing"",""งบพรบ!DV77"")"),0)</f>
        <v>0</v>
      </c>
      <c r="M306" s="887">
        <f ca="1">IFERROR(__xludf.DUMMYFUNCTION("IMPORTRANGE(""https://docs.google.com/spreadsheets/d/1MeEWN-I1oV_STSDYn1IFDPWt_1FKiwhDph83XaGc0o0/edit?usp=sharing"",""งบพรบ!DY77"")"),0)</f>
        <v>0</v>
      </c>
      <c r="N306" s="887">
        <f ca="1">IFERROR(__xludf.DUMMYFUNCTION("IMPORTRANGE(""https://docs.google.com/spreadsheets/d/1MeEWN-I1oV_STSDYn1IFDPWt_1FKiwhDph83XaGc0o0/edit?usp=sharing"",""งบพรบ!EA77"")"),0)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IFERROR(__xludf.DUMMYFUNCTION("IMPORTRANGE(""https://docs.google.com/spreadsheets/d/1QqKyyYR6Q21VydFLVH3TRQUabQu_ym0Zz7PgGX0-kHA/edit?usp=sharing"",""แผน!ED77"")"),0)</f>
        <v>0</v>
      </c>
      <c r="J309" s="1012">
        <v>0</v>
      </c>
      <c r="K309" s="881">
        <f t="shared" ref="K309:K312" ca="1" si="141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IFERROR(__xludf.DUMMYFUNCTION("IMPORTRANGE(""https://docs.google.com/spreadsheets/d/1QqKyyYR6Q21VydFLVH3TRQUabQu_ym0Zz7PgGX0-kHA/edit?usp=sharing"",""แผน!ED77"")"),0)</f>
        <v>0</v>
      </c>
      <c r="J310" s="1012">
        <v>0</v>
      </c>
      <c r="K310" s="881">
        <f t="shared" ca="1" si="141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IFERROR(__xludf.DUMMYFUNCTION("IMPORTRANGE(""https://docs.google.com/spreadsheets/d/1QqKyyYR6Q21VydFLVH3TRQUabQu_ym0Zz7PgGX0-kHA/edit?usp=sharing"",""แผน!ED77"")"),0)</f>
        <v>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IFERROR(__xludf.DUMMYFUNCTION("IMPORTRANGE(""https://docs.google.com/spreadsheets/d/1QqKyyYR6Q21VydFLVH3TRQUabQu_ym0Zz7PgGX0-kHA/edit?usp=sharing"",""แผน!EE77"")"),0)</f>
        <v>0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0</v>
      </c>
      <c r="J314" s="1190">
        <f t="shared" si="142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0</v>
      </c>
      <c r="M315" s="992">
        <f t="shared" ca="1" si="143"/>
        <v>0</v>
      </c>
      <c r="N315" s="992">
        <f t="shared" ca="1" si="143"/>
        <v>0</v>
      </c>
      <c r="O315" s="992">
        <f t="shared" ref="O315:O323" ca="1" si="144">IF(L315&gt;0,N315*100/L315,0)</f>
        <v>0</v>
      </c>
      <c r="P315" s="992">
        <f t="shared" ref="P315:P323" ca="1" si="145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0</v>
      </c>
      <c r="M317" s="887">
        <f t="shared" ca="1" si="146"/>
        <v>0</v>
      </c>
      <c r="N317" s="887">
        <f t="shared" ca="1" si="146"/>
        <v>0</v>
      </c>
      <c r="O317" s="887">
        <f t="shared" ca="1" si="144"/>
        <v>0</v>
      </c>
      <c r="P317" s="887">
        <f t="shared" ca="1" si="145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0</v>
      </c>
      <c r="M318" s="881">
        <f t="shared" ca="1" si="147"/>
        <v>0</v>
      </c>
      <c r="N318" s="881">
        <f t="shared" ca="1" si="147"/>
        <v>0</v>
      </c>
      <c r="O318" s="881">
        <f t="shared" ca="1" si="144"/>
        <v>0</v>
      </c>
      <c r="P318" s="881">
        <f t="shared" ca="1" si="145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IFERROR(__xludf.DUMMYFUNCTION("IMPORTRANGE(""https://docs.google.com/spreadsheets/d/1MeEWN-I1oV_STSDYn1IFDPWt_1FKiwhDph83XaGc0o0/edit?usp=sharing"",""งบพรบ!EC77"")"),0)</f>
        <v>0</v>
      </c>
      <c r="M320" s="887">
        <f ca="1">IFERROR(__xludf.DUMMYFUNCTION("IMPORTRANGE(""https://docs.google.com/spreadsheets/d/1MeEWN-I1oV_STSDYn1IFDPWt_1FKiwhDph83XaGc0o0/edit?usp=sharing"",""งบพรบ!EH77"")"),0)</f>
        <v>0</v>
      </c>
      <c r="N320" s="887">
        <f ca="1">IFERROR(__xludf.DUMMYFUNCTION("IMPORTRANGE(""https://docs.google.com/spreadsheets/d/1MeEWN-I1oV_STSDYn1IFDPWt_1FKiwhDph83XaGc0o0/edit?usp=sharing"",""งบพรบ!EJ77"")"),0)</f>
        <v>0</v>
      </c>
      <c r="O320" s="887">
        <f t="shared" ca="1" si="144"/>
        <v>0</v>
      </c>
      <c r="P320" s="887">
        <f t="shared" ca="1" si="145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IFERROR(__xludf.DUMMYFUNCTION("IMPORTRANGE(""https://docs.google.com/spreadsheets/d/1MeEWN-I1oV_STSDYn1IFDPWt_1FKiwhDph83XaGc0o0/edit?usp=sharing"",""งบพรบ!EF77"")"),0)</f>
        <v>0</v>
      </c>
      <c r="M323" s="887">
        <f ca="1">IFERROR(__xludf.DUMMYFUNCTION("IMPORTRANGE(""https://docs.google.com/spreadsheets/d/1MeEWN-I1oV_STSDYn1IFDPWt_1FKiwhDph83XaGc0o0/edit?usp=sharing"",""งบพรบ!EI77"")"),0)</f>
        <v>0</v>
      </c>
      <c r="N323" s="887">
        <f ca="1">IFERROR(__xludf.DUMMYFUNCTION("IMPORTRANGE(""https://docs.google.com/spreadsheets/d/1MeEWN-I1oV_STSDYn1IFDPWt_1FKiwhDph83XaGc0o0/edit?usp=sharing"",""งบพรบ!EK77"")"),0)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IFERROR(__xludf.DUMMYFUNCTION("IMPORTRANGE(""https://docs.google.com/spreadsheets/d/1QqKyyYR6Q21VydFLVH3TRQUabQu_ym0Zz7PgGX0-kHA/edit?usp=sharing"",""แผน!EF77"")"),0)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IFERROR(__xludf.DUMMYFUNCTION("IMPORTRANGE(""https://docs.google.com/spreadsheets/d/1QqKyyYR6Q21VydFLVH3TRQUabQu_ym0Zz7PgGX0-kHA/edit?usp=sharing"",""แผน!EG77"")"),1700)</f>
        <v>1700</v>
      </c>
      <c r="J327" s="1190">
        <f ca="1">J338+J341+J342+J343</f>
        <v>2826</v>
      </c>
      <c r="K327" s="1191">
        <f ca="1">IF(I327&gt;0,J327*100/I327,0)</f>
        <v>166.23529411764707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166000</v>
      </c>
      <c r="M328" s="992">
        <f t="shared" ca="1" si="149"/>
        <v>127000</v>
      </c>
      <c r="N328" s="992">
        <f t="shared" ca="1" si="149"/>
        <v>86311.41</v>
      </c>
      <c r="O328" s="992">
        <f t="shared" ref="O328:O336" ca="1" si="150">IF(L328&gt;0,N328*100/L328,0)</f>
        <v>51.99482530120482</v>
      </c>
      <c r="P328" s="992">
        <f t="shared" ref="P328:P336" ca="1" si="151">IF(M328&gt;0,N328*100/M328,0)</f>
        <v>67.961740157480321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166000</v>
      </c>
      <c r="M330" s="887">
        <f t="shared" ca="1" si="152"/>
        <v>127000</v>
      </c>
      <c r="N330" s="887">
        <f t="shared" ca="1" si="152"/>
        <v>86311.41</v>
      </c>
      <c r="O330" s="887">
        <f t="shared" ca="1" si="150"/>
        <v>51.99482530120482</v>
      </c>
      <c r="P330" s="887">
        <f t="shared" ca="1" si="151"/>
        <v>67.961740157480321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166000</v>
      </c>
      <c r="M331" s="881">
        <f t="shared" ca="1" si="153"/>
        <v>127000</v>
      </c>
      <c r="N331" s="881">
        <f t="shared" ca="1" si="153"/>
        <v>86311.41</v>
      </c>
      <c r="O331" s="881">
        <f t="shared" ca="1" si="150"/>
        <v>51.99482530120482</v>
      </c>
      <c r="P331" s="881">
        <f t="shared" ca="1" si="151"/>
        <v>67.961740157480321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IFERROR(__xludf.DUMMYFUNCTION("IMPORTRANGE(""https://docs.google.com/spreadsheets/d/1MeEWN-I1oV_STSDYn1IFDPWt_1FKiwhDph83XaGc0o0/edit?usp=sharing"",""งบพรบ!EM77"")"),166000)</f>
        <v>166000</v>
      </c>
      <c r="M333" s="887">
        <f ca="1">IFERROR(__xludf.DUMMYFUNCTION("IMPORTRANGE(""https://docs.google.com/spreadsheets/d/1MeEWN-I1oV_STSDYn1IFDPWt_1FKiwhDph83XaGc0o0/edit?usp=sharing"",""งบพรบ!ER77"")"),127000)</f>
        <v>127000</v>
      </c>
      <c r="N333" s="887">
        <f ca="1">IFERROR(__xludf.DUMMYFUNCTION("IMPORTRANGE(""https://docs.google.com/spreadsheets/d/1MeEWN-I1oV_STSDYn1IFDPWt_1FKiwhDph83XaGc0o0/edit?usp=sharing"",""งบพรบ!ET77"")"),86311.41)</f>
        <v>86311.41</v>
      </c>
      <c r="O333" s="887">
        <f t="shared" ca="1" si="150"/>
        <v>51.99482530120482</v>
      </c>
      <c r="P333" s="887">
        <f t="shared" ca="1" si="151"/>
        <v>67.961740157480321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IFERROR(__xludf.DUMMYFUNCTION("IMPORTRANGE(""https://docs.google.com/spreadsheets/d/1MeEWN-I1oV_STSDYn1IFDPWt_1FKiwhDph83XaGc0o0/edit?usp=sharing"",""งบพรบ!EP77"")"),0)</f>
        <v>0</v>
      </c>
      <c r="M336" s="887">
        <f ca="1">IFERROR(__xludf.DUMMYFUNCTION("IMPORTRANGE(""https://docs.google.com/spreadsheets/d/1MeEWN-I1oV_STSDYn1IFDPWt_1FKiwhDph83XaGc0o0/edit?usp=sharing"",""งบพรบ!ES77"")"),0)</f>
        <v>0</v>
      </c>
      <c r="N336" s="887">
        <f ca="1">IFERROR(__xludf.DUMMYFUNCTION("IMPORTRANGE(""https://docs.google.com/spreadsheets/d/1MeEWN-I1oV_STSDYn1IFDPWt_1FKiwhDph83XaGc0o0/edit?usp=sharing"",""งบพรบ!EU77"")"),0)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IFERROR(__xludf.DUMMYFUNCTION("IMPORTRANGE(""https://docs.google.com/spreadsheets/d/1QqKyyYR6Q21VydFLVH3TRQUabQu_ym0Zz7PgGX0-kHA/edit?usp=sharing"",""แผน!EG77"")"),1700)</f>
        <v>1700</v>
      </c>
      <c r="J338" s="880">
        <f ca="1">IFERROR(__xludf.DUMMYFUNCTION("IMPORTRANGE(""https://docs.google.com/spreadsheets/d/1kVcqe37tkHyjCSG3S0O1AXqVkqjo8mSIZil3BcpIysc/edit?usp=sharing"",""ศูนย์!D77"")"),2671)</f>
        <v>2671</v>
      </c>
      <c r="K338" s="881">
        <f ca="1">IF(I338&gt;0,J338*100/I338,0)</f>
        <v>157.11764705882354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IFERROR(__xludf.DUMMYFUNCTION("IMPORTRANGE(""https://docs.google.com/spreadsheets/d/1QqKyyYR6Q21VydFLVH3TRQUabQu_ym0Zz7PgGX0-kHA/edit?usp=sharing"",""แผน!EH77"")"),4)</f>
        <v>4</v>
      </c>
      <c r="J340" s="880">
        <f ca="1">IFERROR(__xludf.DUMMYFUNCTION("IMPORTRANGE(""https://docs.google.com/spreadsheets/d/1kVcqe37tkHyjCSG3S0O1AXqVkqjo8mSIZil3BcpIysc/edit?usp=sharing"",""ศูนย์!E77"")"),4)</f>
        <v>4</v>
      </c>
      <c r="K340" s="881">
        <f ca="1">IF(I340&gt;0,J340*100/I340,0)</f>
        <v>100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IFERROR(__xludf.DUMMYFUNCTION("IMPORTRANGE(""https://docs.google.com/spreadsheets/d/1kVcqe37tkHyjCSG3S0O1AXqVkqjo8mSIZil3BcpIysc/edit?usp=sharing"",""ศูนย์!F77"")"),155)</f>
        <v>155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IFERROR(__xludf.DUMMYFUNCTION("IMPORTRANGE(""https://docs.google.com/spreadsheets/d/1kVcqe37tkHyjCSG3S0O1AXqVkqjo8mSIZil3BcpIysc/edit?usp=sharing"",""ศูนย์!G77"")"),0)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IFERROR(__xludf.DUMMYFUNCTION("IMPORTRANGE(""https://docs.google.com/spreadsheets/d/1kVcqe37tkHyjCSG3S0O1AXqVkqjo8mSIZil3BcpIysc/edit?usp=sharing"",""ศูนย์!H77"")"),0)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997600</v>
      </c>
      <c r="M345" s="992">
        <f t="shared" ca="1" si="155"/>
        <v>786520</v>
      </c>
      <c r="N345" s="992">
        <f t="shared" ca="1" si="155"/>
        <v>567228.97</v>
      </c>
      <c r="O345" s="992">
        <f t="shared" ref="O345:O353" ca="1" si="156">IF(L345&gt;0,N345*100/L345,0)</f>
        <v>56.859359462710508</v>
      </c>
      <c r="P345" s="992">
        <f t="shared" ref="P345:P353" ca="1" si="157">IF(M345&gt;0,N345*100/M345,0)</f>
        <v>72.118823424706306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997600</v>
      </c>
      <c r="M347" s="887">
        <f t="shared" ca="1" si="158"/>
        <v>786520</v>
      </c>
      <c r="N347" s="887">
        <f t="shared" ca="1" si="158"/>
        <v>567228.97</v>
      </c>
      <c r="O347" s="887">
        <f t="shared" ca="1" si="156"/>
        <v>56.859359462710508</v>
      </c>
      <c r="P347" s="887">
        <f t="shared" ca="1" si="157"/>
        <v>72.118823424706306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868000</v>
      </c>
      <c r="M348" s="881">
        <f t="shared" ca="1" si="159"/>
        <v>656920</v>
      </c>
      <c r="N348" s="881">
        <f t="shared" ca="1" si="159"/>
        <v>437628.97</v>
      </c>
      <c r="O348" s="881">
        <f t="shared" ca="1" si="156"/>
        <v>50.41808410138249</v>
      </c>
      <c r="P348" s="881">
        <f t="shared" ca="1" si="157"/>
        <v>66.618305120867078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IFERROR(__xludf.DUMMYFUNCTION("IMPORTRANGE(""https://docs.google.com/spreadsheets/d/1MeEWN-I1oV_STSDYn1IFDPWt_1FKiwhDph83XaGc0o0/edit?usp=sharing"",""งบพรบ!EW77"")"),868000)</f>
        <v>868000</v>
      </c>
      <c r="M350" s="887">
        <f ca="1">IFERROR(__xludf.DUMMYFUNCTION("IMPORTRANGE(""https://docs.google.com/spreadsheets/d/1MeEWN-I1oV_STSDYn1IFDPWt_1FKiwhDph83XaGc0o0/edit?usp=sharing"",""งบพรบ!FB77"")"),656920)</f>
        <v>656920</v>
      </c>
      <c r="N350" s="887">
        <f ca="1">IFERROR(__xludf.DUMMYFUNCTION("IMPORTRANGE(""https://docs.google.com/spreadsheets/d/1MeEWN-I1oV_STSDYn1IFDPWt_1FKiwhDph83XaGc0o0/edit?usp=sharing"",""งบพรบ!FD77"")"),437628.97)</f>
        <v>437628.97</v>
      </c>
      <c r="O350" s="887">
        <f t="shared" ca="1" si="156"/>
        <v>50.41808410138249</v>
      </c>
      <c r="P350" s="887">
        <f t="shared" ca="1" si="157"/>
        <v>66.618305120867078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129600</v>
      </c>
      <c r="M351" s="881">
        <f t="shared" ca="1" si="160"/>
        <v>129600</v>
      </c>
      <c r="N351" s="881">
        <f t="shared" ca="1" si="160"/>
        <v>129600</v>
      </c>
      <c r="O351" s="881">
        <f t="shared" ca="1" si="156"/>
        <v>100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IFERROR(__xludf.DUMMYFUNCTION("IMPORTRANGE(""https://docs.google.com/spreadsheets/d/1MeEWN-I1oV_STSDYn1IFDPWt_1FKiwhDph83XaGc0o0/edit?usp=sharing"",""งบพรบ!EZ77"")"),129600)</f>
        <v>129600</v>
      </c>
      <c r="M353" s="887">
        <f ca="1">IFERROR(__xludf.DUMMYFUNCTION("IMPORTRANGE(""https://docs.google.com/spreadsheets/d/1MeEWN-I1oV_STSDYn1IFDPWt_1FKiwhDph83XaGc0o0/edit?usp=sharing"",""งบพรบ!FC77"")"),129600)</f>
        <v>129600</v>
      </c>
      <c r="N353" s="887">
        <f ca="1">IFERROR(__xludf.DUMMYFUNCTION("IMPORTRANGE(""https://docs.google.com/spreadsheets/d/1MeEWN-I1oV_STSDYn1IFDPWt_1FKiwhDph83XaGc0o0/edit?usp=sharing"",""งบพรบ!FE77"")"),129600)</f>
        <v>129600</v>
      </c>
      <c r="O353" s="887">
        <f t="shared" ca="1" si="156"/>
        <v>100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IFERROR(__xludf.DUMMYFUNCTION("IMPORTRANGE(""https://docs.google.com/spreadsheets/d/1QqKyyYR6Q21VydFLVH3TRQUabQu_ym0Zz7PgGX0-kHA/edit?usp=sharing"",""แผน!EP77"")"),332)</f>
        <v>332</v>
      </c>
      <c r="J355" s="1206">
        <f ca="1">J362</f>
        <v>69</v>
      </c>
      <c r="K355" s="1207">
        <f ca="1">IF(I355&gt;0,J355*100/I355,0)</f>
        <v>20.783132530120483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IFERROR(__xludf.DUMMYFUNCTION("IMPORTRANGE(""https://docs.google.com/spreadsheets/d/1XWAQStnk-4SwqDmLtmXYiTMKHgktTP8We1SCoS47DrQ/edit?usp=sharing"",""จัดที่ดิน!W77"")"),160)</f>
        <v>160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IFERROR(__xludf.DUMMYFUNCTION("IMPORTRANGE(""https://docs.google.com/spreadsheets/d/1QqKyyYR6Q21VydFLVH3TRQUabQu_ym0Zz7PgGX0-kHA/edit?usp=sharing"",""แผน!EO77"")"),2700)</f>
        <v>2700</v>
      </c>
      <c r="J359" s="880">
        <f ca="1">IFERROR(__xludf.DUMMYFUNCTION("IMPORTRANGE(""https://docs.google.com/spreadsheets/d/1XWAQStnk-4SwqDmLtmXYiTMKHgktTP8We1SCoS47DrQ/edit?usp=sharing"",""จัดที่ดิน!X77"")"),1253.24)</f>
        <v>1253.24</v>
      </c>
      <c r="K359" s="881">
        <f t="shared" ca="1" si="161"/>
        <v>46.416296296296295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IFERROR(__xludf.DUMMYFUNCTION("IMPORTRANGE(""https://docs.google.com/spreadsheets/d/1QqKyyYR6Q21VydFLVH3TRQUabQu_ym0Zz7PgGX0-kHA/edit?usp=sharing"",""แผน!EP77"")"),332)</f>
        <v>332</v>
      </c>
      <c r="J360" s="880">
        <f ca="1">IFERROR(__xludf.DUMMYFUNCTION("IMPORTRANGE(""https://docs.google.com/spreadsheets/d/1XWAQStnk-4SwqDmLtmXYiTMKHgktTP8We1SCoS47DrQ/edit?usp=sharing"",""จัดที่ดิน!Y77"")"),95)</f>
        <v>95</v>
      </c>
      <c r="K360" s="881">
        <f t="shared" ca="1" si="161"/>
        <v>28.6144578313253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IFERROR(__xludf.DUMMYFUNCTION("IMPORTRANGE(""https://docs.google.com/spreadsheets/d/1XWAQStnk-4SwqDmLtmXYiTMKHgktTP8We1SCoS47DrQ/edit?usp=sharing"",""จัดที่ดิน!Z77"")"),912.03)</f>
        <v>912.03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IFERROR(__xludf.DUMMYFUNCTION("IMPORTRANGE(""https://docs.google.com/spreadsheets/d/1QqKyyYR6Q21VydFLVH3TRQUabQu_ym0Zz7PgGX0-kHA/edit?usp=sharing"",""แผน!EP77"")"),332)</f>
        <v>332</v>
      </c>
      <c r="J362" s="880">
        <f ca="1">IFERROR(__xludf.DUMMYFUNCTION("IMPORTRANGE(""https://docs.google.com/spreadsheets/d/1XWAQStnk-4SwqDmLtmXYiTMKHgktTP8We1SCoS47DrQ/edit?usp=sharing"",""จัดที่ดิน!AA77"")"),69)</f>
        <v>69</v>
      </c>
      <c r="K362" s="881">
        <f t="shared" ca="1" si="161"/>
        <v>20.783132530120483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IFERROR(__xludf.DUMMYFUNCTION("IMPORTRANGE(""https://docs.google.com/spreadsheets/d/1XWAQStnk-4SwqDmLtmXYiTMKHgktTP8We1SCoS47DrQ/edit?usp=sharing"",""จัดที่ดิน!AB77"")"),718.64)</f>
        <v>718.64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502</v>
      </c>
      <c r="J364" s="1219">
        <f t="shared" ca="1" si="162"/>
        <v>113</v>
      </c>
      <c r="K364" s="1220">
        <f t="shared" ca="1" si="161"/>
        <v>22.509960159362549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IFERROR(__xludf.DUMMYFUNCTION("IMPORTRANGE(""https://docs.google.com/spreadsheets/d/1QqKyyYR6Q21VydFLVH3TRQUabQu_ym0Zz7PgGX0-kHA/edit?usp=sharing"",""แผน!EJ77"")"),182)</f>
        <v>182</v>
      </c>
      <c r="J365" s="1227">
        <f ca="1">J372</f>
        <v>69</v>
      </c>
      <c r="K365" s="1228">
        <f t="shared" ca="1" si="161"/>
        <v>37.912087912087912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IFERROR(__xludf.DUMMYFUNCTION("IMPORTRANGE(""https://docs.google.com/spreadsheets/d/1XWAQStnk-4SwqDmLtmXYiTMKHgktTP8We1SCoS47DrQ/edit?usp=sharing"",""จัดที่ดิน!E77"")"),71)</f>
        <v>71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IFERROR(__xludf.DUMMYFUNCTION("IMPORTRANGE(""https://docs.google.com/spreadsheets/d/1QqKyyYR6Q21VydFLVH3TRQUabQu_ym0Zz7PgGX0-kHA/edit?usp=sharing"",""แผน!EI77"")"),1300)</f>
        <v>1300</v>
      </c>
      <c r="J369" s="880">
        <f ca="1">IFERROR(__xludf.DUMMYFUNCTION("IMPORTRANGE(""https://docs.google.com/spreadsheets/d/1XWAQStnk-4SwqDmLtmXYiTMKHgktTP8We1SCoS47DrQ/edit?usp=sharing"",""จัดที่ดิน!F77"")"),689.1)</f>
        <v>689.1</v>
      </c>
      <c r="K369" s="881">
        <f t="shared" ca="1" si="163"/>
        <v>53.007692307692309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IFERROR(__xludf.DUMMYFUNCTION("IMPORTRANGE(""https://docs.google.com/spreadsheets/d/1QqKyyYR6Q21VydFLVH3TRQUabQu_ym0Zz7PgGX0-kHA/edit?usp=sharing"",""แผน!EJ77"")"),182)</f>
        <v>182</v>
      </c>
      <c r="J370" s="880">
        <f ca="1">IFERROR(__xludf.DUMMYFUNCTION("IMPORTRANGE(""https://docs.google.com/spreadsheets/d/1XWAQStnk-4SwqDmLtmXYiTMKHgktTP8We1SCoS47DrQ/edit?usp=sharing"",""จัดที่ดิน!G77"")"),77)</f>
        <v>77</v>
      </c>
      <c r="K370" s="881">
        <f t="shared" ca="1" si="163"/>
        <v>42.307692307692307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IFERROR(__xludf.DUMMYFUNCTION("IMPORTRANGE(""https://docs.google.com/spreadsheets/d/1XWAQStnk-4SwqDmLtmXYiTMKHgktTP8We1SCoS47DrQ/edit?usp=sharing"",""จัดที่ดิน!H77"")"),825.81)</f>
        <v>825.81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IFERROR(__xludf.DUMMYFUNCTION("IMPORTRANGE(""https://docs.google.com/spreadsheets/d/1QqKyyYR6Q21VydFLVH3TRQUabQu_ym0Zz7PgGX0-kHA/edit?usp=sharing"",""แผน!EJ77"")"),182)</f>
        <v>182</v>
      </c>
      <c r="J372" s="880">
        <f ca="1">IFERROR(__xludf.DUMMYFUNCTION("IMPORTRANGE(""https://docs.google.com/spreadsheets/d/1XWAQStnk-4SwqDmLtmXYiTMKHgktTP8We1SCoS47DrQ/edit?usp=sharing"",""จัดที่ดิน!I77"")"),69)</f>
        <v>69</v>
      </c>
      <c r="K372" s="881">
        <f t="shared" ca="1" si="163"/>
        <v>37.912087912087912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IFERROR(__xludf.DUMMYFUNCTION("IMPORTRANGE(""https://docs.google.com/spreadsheets/d/1XWAQStnk-4SwqDmLtmXYiTMKHgktTP8We1SCoS47DrQ/edit?usp=sharing"",""จัดที่ดิน!J77"")"),718.64)</f>
        <v>718.64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IFERROR(__xludf.DUMMYFUNCTION("IMPORTRANGE(""https://docs.google.com/spreadsheets/d/1QqKyyYR6Q21VydFLVH3TRQUabQu_ym0Zz7PgGX0-kHA/edit?usp=sharing"",""แผน!EU77"")"),320)</f>
        <v>320</v>
      </c>
      <c r="J374" s="1227">
        <f ca="1">J381</f>
        <v>44</v>
      </c>
      <c r="K374" s="1228">
        <f t="shared" ca="1" si="163"/>
        <v>13.75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IFERROR(__xludf.DUMMYFUNCTION("IMPORTRANGE(""https://docs.google.com/spreadsheets/d/1XWAQStnk-4SwqDmLtmXYiTMKHgktTP8We1SCoS47DrQ/edit?usp=sharing"",""จัดที่ดิน!AH77"")"),89)</f>
        <v>89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IFERROR(__xludf.DUMMYFUNCTION("IMPORTRANGE(""https://docs.google.com/spreadsheets/d/1QqKyyYR6Q21VydFLVH3TRQUabQu_ym0Zz7PgGX0-kHA/edit?usp=sharing"",""แผน!ET77"")"),1400)</f>
        <v>1400</v>
      </c>
      <c r="J378" s="880">
        <f ca="1">IFERROR(__xludf.DUMMYFUNCTION("IMPORTRANGE(""https://docs.google.com/spreadsheets/d/1XWAQStnk-4SwqDmLtmXYiTMKHgktTP8We1SCoS47DrQ/edit?usp=sharing"",""จัดที่ดิน!AI77"")"),564.14)</f>
        <v>564.14</v>
      </c>
      <c r="K378" s="881">
        <f t="shared" ca="1" si="164"/>
        <v>40.295714285714283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IFERROR(__xludf.DUMMYFUNCTION("IMPORTRANGE(""https://docs.google.com/spreadsheets/d/1QqKyyYR6Q21VydFLVH3TRQUabQu_ym0Zz7PgGX0-kHA/edit?usp=sharing"",""แผน!EU77"")"),320)</f>
        <v>320</v>
      </c>
      <c r="J379" s="880">
        <f ca="1">IFERROR(__xludf.DUMMYFUNCTION("IMPORTRANGE(""https://docs.google.com/spreadsheets/d/1XWAQStnk-4SwqDmLtmXYiTMKHgktTP8We1SCoS47DrQ/edit?usp=sharing"",""จัดที่ดิน!AJ77"")"),62)</f>
        <v>62</v>
      </c>
      <c r="K379" s="881">
        <f t="shared" ca="1" si="164"/>
        <v>19.375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IFERROR(__xludf.DUMMYFUNCTION("IMPORTRANGE(""https://docs.google.com/spreadsheets/d/1XWAQStnk-4SwqDmLtmXYiTMKHgktTP8We1SCoS47DrQ/edit?usp=sharing"",""จัดที่ดิน!AK77"")"),556.2)</f>
        <v>556.20000000000005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IFERROR(__xludf.DUMMYFUNCTION("IMPORTRANGE(""https://docs.google.com/spreadsheets/d/1QqKyyYR6Q21VydFLVH3TRQUabQu_ym0Zz7PgGX0-kHA/edit?usp=sharing"",""แผน!EU77"")"),320)</f>
        <v>320</v>
      </c>
      <c r="J381" s="880">
        <f ca="1">IFERROR(__xludf.DUMMYFUNCTION("IMPORTRANGE(""https://docs.google.com/spreadsheets/d/1XWAQStnk-4SwqDmLtmXYiTMKHgktTP8We1SCoS47DrQ/edit?usp=sharing"",""จัดที่ดิน!AL77"")"),44)</f>
        <v>44</v>
      </c>
      <c r="K381" s="881">
        <f t="shared" ca="1" si="164"/>
        <v>13.75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IFERROR(__xludf.DUMMYFUNCTION("IMPORTRANGE(""https://docs.google.com/spreadsheets/d/1XWAQStnk-4SwqDmLtmXYiTMKHgktTP8We1SCoS47DrQ/edit?usp=sharing"",""จัดที่ดิน!AM77"")"),469.98)</f>
        <v>469.98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IFERROR(__xludf.DUMMYFUNCTION("IMPORTRANGE(""https://docs.google.com/spreadsheets/d/1QqKyyYR6Q21VydFLVH3TRQUabQu_ym0Zz7PgGX0-kHA/edit?usp=sharing"",""แผน!EW77"")"),20)</f>
        <v>20</v>
      </c>
      <c r="J385" s="1138">
        <f ca="1">IFERROR(__xludf.DUMMYFUNCTION("IMPORTRANGE(""https://docs.google.com/spreadsheets/d/1XWAQStnk-4SwqDmLtmXYiTMKHgktTP8We1SCoS47DrQ/edit?usp=sharing"",""จัดที่ดิน!AP77"")"),4)</f>
        <v>4</v>
      </c>
      <c r="K385" s="1239">
        <f ca="1">IF(I385&gt;0,J385*100/I385,0)</f>
        <v>20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IFERROR(__xludf.DUMMYFUNCTION("IMPORTRANGE(""https://docs.google.com/spreadsheets/d/1MeEWN-I1oV_STSDYn1IFDPWt_1FKiwhDph83XaGc0o0/edit?usp=sharing"",""งบพรบ!FG77"")"),0)</f>
        <v>0</v>
      </c>
      <c r="M394" s="887">
        <f ca="1">IFERROR(__xludf.DUMMYFUNCTION("IMPORTRANGE(""https://docs.google.com/spreadsheets/d/1MeEWN-I1oV_STSDYn1IFDPWt_1FKiwhDph83XaGc0o0/edit?usp=sharing"",""งบพรบ!FL77"")"),0)</f>
        <v>0</v>
      </c>
      <c r="N394" s="887">
        <f ca="1">IFERROR(__xludf.DUMMYFUNCTION("IMPORTRANGE(""https://docs.google.com/spreadsheets/d/1MeEWN-I1oV_STSDYn1IFDPWt_1FKiwhDph83XaGc0o0/edit?usp=sharing"",""งบพรบ!FN77"")"),0)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IFERROR(__xludf.DUMMYFUNCTION("IMPORTRANGE(""https://docs.google.com/spreadsheets/d/1MeEWN-I1oV_STSDYn1IFDPWt_1FKiwhDph83XaGc0o0/edit?usp=sharing"",""งบพรบ!FJ77"")"),0)</f>
        <v>0</v>
      </c>
      <c r="M397" s="887">
        <f ca="1">IFERROR(__xludf.DUMMYFUNCTION("IMPORTRANGE(""https://docs.google.com/spreadsheets/d/1MeEWN-I1oV_STSDYn1IFDPWt_1FKiwhDph83XaGc0o0/edit?usp=sharing"",""งบพรบ!FM77"")"),0)</f>
        <v>0</v>
      </c>
      <c r="N397" s="887">
        <f ca="1">IFERROR(__xludf.DUMMYFUNCTION("IMPORTRANGE(""https://docs.google.com/spreadsheets/d/1MeEWN-I1oV_STSDYn1IFDPWt_1FKiwhDph83XaGc0o0/edit?usp=sharing"",""งบพรบ!FO77"")"),0)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IFERROR(__xludf.DUMMYFUNCTION("IMPORTRANGE(""https://docs.google.com/spreadsheets/d/1MeEWN-I1oV_STSDYn1IFDPWt_1FKiwhDph83XaGc0o0/edit?usp=sharing"",""งบพรบ!FQ77"")"),0)</f>
        <v>0</v>
      </c>
      <c r="M407" s="887">
        <f ca="1">IFERROR(__xludf.DUMMYFUNCTION("IMPORTRANGE(""https://docs.google.com/spreadsheets/d/1MeEWN-I1oV_STSDYn1IFDPWt_1FKiwhDph83XaGc0o0/edit?usp=sharing"",""งบพรบ!FV77"")"),0)</f>
        <v>0</v>
      </c>
      <c r="N407" s="887">
        <f ca="1">IFERROR(__xludf.DUMMYFUNCTION("IMPORTRANGE(""https://docs.google.com/spreadsheets/d/1MeEWN-I1oV_STSDYn1IFDPWt_1FKiwhDph83XaGc0o0/edit?usp=sharing"",""งบพรบ!FX77"")"),0)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IFERROR(__xludf.DUMMYFUNCTION("IMPORTRANGE(""https://docs.google.com/spreadsheets/d/1MeEWN-I1oV_STSDYn1IFDPWt_1FKiwhDph83XaGc0o0/edit?usp=sharing"",""งบพรบ!FT77"")"),0)</f>
        <v>0</v>
      </c>
      <c r="M410" s="887">
        <f ca="1">IFERROR(__xludf.DUMMYFUNCTION("IMPORTRANGE(""https://docs.google.com/spreadsheets/d/1MeEWN-I1oV_STSDYn1IFDPWt_1FKiwhDph83XaGc0o0/edit?usp=sharing"",""งบพรบ!FW77"")"),0)</f>
        <v>0</v>
      </c>
      <c r="N410" s="887">
        <f ca="1">IFERROR(__xludf.DUMMYFUNCTION("IMPORTRANGE(""https://docs.google.com/spreadsheets/d/1MeEWN-I1oV_STSDYn1IFDPWt_1FKiwhDph83XaGc0o0/edit?usp=sharing"",""งบพรบ!FY77"")"),0)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844092</v>
      </c>
      <c r="M414" s="1281">
        <f t="shared" ca="1" si="181"/>
        <v>844092</v>
      </c>
      <c r="N414" s="1281">
        <f t="shared" si="181"/>
        <v>290127.91000000003</v>
      </c>
      <c r="O414" s="1281">
        <f ca="1">IF(L414&gt;0,N414*100/L414,0)</f>
        <v>34.371598119636253</v>
      </c>
      <c r="P414" s="1281">
        <f ca="1">IF(M414&gt;0,N414*100/M414,0)</f>
        <v>34.371598119636253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15</v>
      </c>
      <c r="J417" s="1294">
        <f t="shared" ca="1" si="182"/>
        <v>15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66560</v>
      </c>
      <c r="M419" s="992">
        <f t="shared" ca="1" si="184"/>
        <v>66560</v>
      </c>
      <c r="N419" s="992">
        <f t="shared" si="184"/>
        <v>50881.59</v>
      </c>
      <c r="O419" s="992">
        <f t="shared" ref="O419:O424" ca="1" si="185">IF(L419&gt;0,N419*100/L419,0)</f>
        <v>76.444696514423072</v>
      </c>
      <c r="P419" s="992">
        <f t="shared" ref="P419:P424" ca="1" si="186">IF(M419&gt;0,N419*100/M419,0)</f>
        <v>76.444696514423072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66560</v>
      </c>
      <c r="M421" s="887">
        <f t="shared" ca="1" si="187"/>
        <v>66560</v>
      </c>
      <c r="N421" s="887">
        <f t="shared" si="187"/>
        <v>50881.59</v>
      </c>
      <c r="O421" s="887">
        <f t="shared" ca="1" si="185"/>
        <v>76.444696514423072</v>
      </c>
      <c r="P421" s="887">
        <f t="shared" ca="1" si="186"/>
        <v>76.444696514423072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66560</v>
      </c>
      <c r="M422" s="881">
        <f t="shared" ca="1" si="188"/>
        <v>66560</v>
      </c>
      <c r="N422" s="881">
        <f t="shared" si="188"/>
        <v>50881.59</v>
      </c>
      <c r="O422" s="881">
        <f t="shared" ca="1" si="185"/>
        <v>76.444696514423072</v>
      </c>
      <c r="P422" s="881">
        <f t="shared" ca="1" si="186"/>
        <v>76.444696514423072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IFERROR(__xludf.DUMMYFUNCTION("IMPORTRANGE(""https://docs.google.com/spreadsheets/d/1QqKyyYR6Q21VydFLVH3TRQUabQu_ym0Zz7PgGX0-kHA/edit?usp=sharing"",""แผน!EY77"")"),66560)</f>
        <v>66560</v>
      </c>
      <c r="M424" s="887">
        <f ca="1">L424</f>
        <v>66560</v>
      </c>
      <c r="N424" s="887">
        <f>N425+N426+N427+N428</f>
        <v>50881.59</v>
      </c>
      <c r="O424" s="887">
        <f t="shared" ca="1" si="185"/>
        <v>76.444696514423072</v>
      </c>
      <c r="P424" s="887">
        <f t="shared" ca="1" si="186"/>
        <v>76.444696514423072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36300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f>618.25+13963.34</f>
        <v>14581.59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IFERROR(__xludf.DUMMYFUNCTION("IMPORTRANGE(""https://docs.google.com/spreadsheets/d/1QqKyyYR6Q21VydFLVH3TRQUabQu_ym0Zz7PgGX0-kHA/edit?usp=sharing"",""แผน!FB77"")"),0)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15</v>
      </c>
      <c r="J433" s="1019">
        <f ca="1">IF(AND(J435=I435,J437=I437,J439=I439),I437+I439,IF(AND(J435=I437,J437=I437),I437,IF(AND(J435=I439,J439=I439),I439,0)))</f>
        <v>15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IFERROR(__xludf.DUMMYFUNCTION("IMPORTRANGE(""https://docs.google.com/spreadsheets/d/1QqKyyYR6Q21VydFLVH3TRQUabQu_ym0Zz7PgGX0-kHA/edit?usp=sharing"",""แผน!FC77"")"),15)</f>
        <v>15</v>
      </c>
      <c r="J435" s="583">
        <v>15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IFERROR(__xludf.DUMMYFUNCTION("IMPORTRANGE(""https://docs.google.com/spreadsheets/d/1QqKyyYR6Q21VydFLVH3TRQUabQu_ym0Zz7PgGX0-kHA/edit?usp=sharing"",""แผน!FD77"")"),0)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IFERROR(__xludf.DUMMYFUNCTION("IMPORTRANGE(""https://docs.google.com/spreadsheets/d/1QqKyyYR6Q21VydFLVH3TRQUabQu_ym0Zz7PgGX0-kHA/edit?usp=sharing"",""แผน!FE77"")"),0)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IFERROR(__xludf.DUMMYFUNCTION("IMPORTRANGE(""https://docs.google.com/spreadsheets/d/1QqKyyYR6Q21VydFLVH3TRQUabQu_ym0Zz7PgGX0-kHA/edit?usp=sharing"",""แผน!FF77"")"),15)</f>
        <v>15</v>
      </c>
      <c r="J439" s="583">
        <v>15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IFERROR(__xludf.DUMMYFUNCTION("IMPORTRANGE(""https://docs.google.com/spreadsheets/d/1QqKyyYR6Q21VydFLVH3TRQUabQu_ym0Zz7PgGX0-kHA/edit?usp=sharing"",""แผน!FG77"")"),1)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IFERROR(__xludf.DUMMYFUNCTION("IMPORTRANGE(""https://docs.google.com/spreadsheets/d/1QqKyyYR6Q21VydFLVH3TRQUabQu_ym0Zz7PgGX0-kHA/edit?usp=sharing"",""แผน!FH77"")"),0)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10</v>
      </c>
      <c r="J442" s="1310">
        <f t="shared" si="195"/>
        <v>10</v>
      </c>
      <c r="K442" s="1311">
        <f t="shared" ca="1" si="194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30</v>
      </c>
      <c r="J443" s="1294">
        <f t="shared" si="196"/>
        <v>30</v>
      </c>
      <c r="K443" s="1295">
        <f t="shared" ca="1" si="194"/>
        <v>100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87960</v>
      </c>
      <c r="M444" s="1020">
        <f t="shared" ca="1" si="197"/>
        <v>87960</v>
      </c>
      <c r="N444" s="1020">
        <f t="shared" si="197"/>
        <v>24858.959999999999</v>
      </c>
      <c r="O444" s="1020">
        <f t="shared" ref="O444:O449" ca="1" si="198">IF(L444&gt;0,N444*100/L444,0)</f>
        <v>28.261664392905868</v>
      </c>
      <c r="P444" s="1020">
        <f t="shared" ref="P444:P449" ca="1" si="199">IF(M444&gt;0,N444*100/M444,0)</f>
        <v>28.261664392905868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87960</v>
      </c>
      <c r="M446" s="887">
        <f t="shared" ca="1" si="200"/>
        <v>87960</v>
      </c>
      <c r="N446" s="887">
        <f t="shared" si="200"/>
        <v>24858.959999999999</v>
      </c>
      <c r="O446" s="887">
        <f t="shared" ca="1" si="198"/>
        <v>28.261664392905868</v>
      </c>
      <c r="P446" s="887">
        <f t="shared" ca="1" si="199"/>
        <v>28.261664392905868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87960</v>
      </c>
      <c r="M447" s="881">
        <f t="shared" ca="1" si="201"/>
        <v>87960</v>
      </c>
      <c r="N447" s="881">
        <f t="shared" si="201"/>
        <v>24858.959999999999</v>
      </c>
      <c r="O447" s="881">
        <f t="shared" ca="1" si="198"/>
        <v>28.261664392905868</v>
      </c>
      <c r="P447" s="881">
        <f t="shared" ca="1" si="199"/>
        <v>28.261664392905868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IFERROR(__xludf.DUMMYFUNCTION("IMPORTRANGE(""https://docs.google.com/spreadsheets/d/1QqKyyYR6Q21VydFLVH3TRQUabQu_ym0Zz7PgGX0-kHA/edit?usp=sharing"",""แผน!FJ77"")"),87960)</f>
        <v>87960</v>
      </c>
      <c r="M449" s="887">
        <f ca="1">L449</f>
        <v>87960</v>
      </c>
      <c r="N449" s="887">
        <f>N450+N451+N452+N453</f>
        <v>24858.959999999999</v>
      </c>
      <c r="O449" s="887">
        <f t="shared" ca="1" si="198"/>
        <v>28.261664392905868</v>
      </c>
      <c r="P449" s="887">
        <f t="shared" ca="1" si="199"/>
        <v>28.261664392905868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16953.599999999999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f>3445.4+4459.96</f>
        <v>7905.3600000000006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IFERROR(__xludf.DUMMYFUNCTION("IMPORTRANGE(""https://docs.google.com/spreadsheets/d/1QqKyyYR6Q21VydFLVH3TRQUabQu_ym0Zz7PgGX0-kHA/edit?usp=sharing"",""แผน!FM77"")"),0)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IFERROR(__xludf.DUMMYFUNCTION("IMPORTRANGE(""https://docs.google.com/spreadsheets/d/1QqKyyYR6Q21VydFLVH3TRQUabQu_ym0Zz7PgGX0-kHA/edit?usp=sharing"",""แผน!FN77"")"),10)</f>
        <v>10</v>
      </c>
      <c r="J460" s="1012">
        <v>10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IFERROR(__xludf.DUMMYFUNCTION("IMPORTRANGE(""https://docs.google.com/spreadsheets/d/1QqKyyYR6Q21VydFLVH3TRQUabQu_ym0Zz7PgGX0-kHA/edit?usp=sharing"",""แผน!FO77"")"),30)</f>
        <v>30</v>
      </c>
      <c r="J462" s="1012">
        <v>30</v>
      </c>
      <c r="K462" s="881">
        <f ca="1">IF(I462&gt;0,J462*100/I462,0)</f>
        <v>100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IFERROR(__xludf.DUMMYFUNCTION("IMPORTRANGE(""https://docs.google.com/spreadsheets/d/1QqKyyYR6Q21VydFLVH3TRQUabQu_ym0Zz7PgGX0-kHA/edit?usp=sharing"",""แผน!FO77"")"),30)</f>
        <v>30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IFERROR(__xludf.DUMMYFUNCTION("IMPORTRANGE(""https://docs.google.com/spreadsheets/d/1QqKyyYR6Q21VydFLVH3TRQUabQu_ym0Zz7PgGX0-kHA/edit?usp=sharing"",""แผน!FN77"")"),10)</f>
        <v>10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IFERROR(__xludf.DUMMYFUNCTION("IMPORTRANGE(""https://docs.google.com/spreadsheets/d/1QqKyyYR6Q21VydFLVH3TRQUabQu_ym0Zz7PgGX0-kHA/edit?usp=sharing"",""แผน!FX77"")"),41)</f>
        <v>41</v>
      </c>
      <c r="J465" s="1310">
        <f>J485+J489+J492</f>
        <v>41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IFERROR(__xludf.DUMMYFUNCTION("IMPORTRANGE(""https://docs.google.com/spreadsheets/d/1QqKyyYR6Q21VydFLVH3TRQUabQu_ym0Zz7PgGX0-kHA/edit?usp=sharing"",""แผน!FW77"")"),400)</f>
        <v>400</v>
      </c>
      <c r="J466" s="1294">
        <f>J495+J498</f>
        <v>0</v>
      </c>
      <c r="K466" s="1295">
        <f t="shared" ca="1" si="205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341043</v>
      </c>
      <c r="M467" s="1020">
        <f t="shared" ca="1" si="206"/>
        <v>341043</v>
      </c>
      <c r="N467" s="1020">
        <f t="shared" si="206"/>
        <v>69240.27</v>
      </c>
      <c r="O467" s="1020">
        <f t="shared" ref="O467:O472" ca="1" si="207">IF(L467&gt;0,N467*100/L467,0)</f>
        <v>20.302504376280996</v>
      </c>
      <c r="P467" s="1020">
        <f t="shared" ref="P467:P472" ca="1" si="208">IF(M467&gt;0,N467*100/M467,0)</f>
        <v>20.302504376280996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341043</v>
      </c>
      <c r="M469" s="887">
        <f t="shared" ca="1" si="209"/>
        <v>341043</v>
      </c>
      <c r="N469" s="887">
        <f t="shared" si="209"/>
        <v>69240.27</v>
      </c>
      <c r="O469" s="887">
        <f t="shared" ca="1" si="207"/>
        <v>20.302504376280996</v>
      </c>
      <c r="P469" s="887">
        <f t="shared" ca="1" si="208"/>
        <v>20.302504376280996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341043</v>
      </c>
      <c r="M470" s="881">
        <f t="shared" ca="1" si="210"/>
        <v>341043</v>
      </c>
      <c r="N470" s="881">
        <f t="shared" si="210"/>
        <v>69240.27</v>
      </c>
      <c r="O470" s="881">
        <f t="shared" ca="1" si="207"/>
        <v>20.302504376280996</v>
      </c>
      <c r="P470" s="881">
        <f t="shared" ca="1" si="208"/>
        <v>20.302504376280996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IFERROR(__xludf.DUMMYFUNCTION("IMPORTRANGE(""https://docs.google.com/spreadsheets/d/1QqKyyYR6Q21VydFLVH3TRQUabQu_ym0Zz7PgGX0-kHA/edit?usp=sharing"",""แผน!FS77"")"),341043)</f>
        <v>341043</v>
      </c>
      <c r="M472" s="887">
        <f ca="1">L472</f>
        <v>341043</v>
      </c>
      <c r="N472" s="887">
        <f>N473+N474+N475+N476</f>
        <v>69240.27</v>
      </c>
      <c r="O472" s="887">
        <f t="shared" ca="1" si="207"/>
        <v>20.302504376280996</v>
      </c>
      <c r="P472" s="887">
        <f t="shared" ca="1" si="208"/>
        <v>20.302504376280996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61176.72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f>1100+317.17+6646.38</f>
        <v>8063.55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IFERROR(__xludf.DUMMYFUNCTION("IMPORTRANGE(""https://docs.google.com/spreadsheets/d/1QqKyyYR6Q21VydFLVH3TRQUabQu_ym0Zz7PgGX0-kHA/edit?usp=sharing"",""แผน!FV77"")"),0)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IFERROR(__xludf.DUMMYFUNCTION("IMPORTRANGE(""https://docs.google.com/spreadsheets/d/1QqKyyYR6Q21VydFLVH3TRQUabQu_ym0Zz7PgGX0-kHA/edit?usp=sharing"",""แผน!FY77"")"),360)</f>
        <v>360</v>
      </c>
      <c r="J483" s="1012">
        <v>360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36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IFERROR(__xludf.DUMMYFUNCTION("IMPORTRANGE(""https://docs.google.com/spreadsheets/d/1QqKyyYR6Q21VydFLVH3TRQUabQu_ym0Zz7PgGX0-kHA/edit?usp=sharing"",""แผน!FZ77"")"),36)</f>
        <v>36</v>
      </c>
      <c r="J485" s="1012">
        <v>36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IFERROR(__xludf.DUMMYFUNCTION("IMPORTRANGE(""https://docs.google.com/spreadsheets/d/1QqKyyYR6Q21VydFLVH3TRQUabQu_ym0Zz7PgGX0-kHA/edit?usp=sharing"",""แผน!GA77"")"),40)</f>
        <v>40</v>
      </c>
      <c r="J487" s="1012">
        <v>40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4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IFERROR(__xludf.DUMMYFUNCTION("IMPORTRANGE(""https://docs.google.com/spreadsheets/d/1QqKyyYR6Q21VydFLVH3TRQUabQu_ym0Zz7PgGX0-kHA/edit?usp=sharing"",""แผน!GB77"")"),4)</f>
        <v>4</v>
      </c>
      <c r="J489" s="1012">
        <v>4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IFERROR(__xludf.DUMMYFUNCTION("IMPORTRANGE(""https://docs.google.com/spreadsheets/d/1QqKyyYR6Q21VydFLVH3TRQUabQu_ym0Zz7PgGX0-kHA/edit?usp=sharing"",""แผน!GC77"")"),1)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IFERROR(__xludf.DUMMYFUNCTION("IMPORTRANGE(""https://docs.google.com/spreadsheets/d/1QqKyyYR6Q21VydFLVH3TRQUabQu_ym0Zz7PgGX0-kHA/edit?usp=sharing"",""แผน!FY77"")"),360)</f>
        <v>360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IFERROR(__xludf.DUMMYFUNCTION("IMPORTRANGE(""https://docs.google.com/spreadsheets/d/1QqKyyYR6Q21VydFLVH3TRQUabQu_ym0Zz7PgGX0-kHA/edit?usp=sharing"",""แผน!GA77"")"),40)</f>
        <v>40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0</v>
      </c>
      <c r="J522" s="1377">
        <f t="shared" ca="1" si="225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0</v>
      </c>
      <c r="M523" s="1020">
        <f t="shared" si="226"/>
        <v>0</v>
      </c>
      <c r="N523" s="1020">
        <f t="shared" si="226"/>
        <v>0</v>
      </c>
      <c r="O523" s="1020">
        <f t="shared" ref="O523:O528" ca="1" si="227">IF(L523&gt;0,N523*100/L523,0)</f>
        <v>0</v>
      </c>
      <c r="P523" s="1020">
        <f t="shared" ref="P523:P528" si="228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0</v>
      </c>
      <c r="M525" s="887">
        <f t="shared" si="229"/>
        <v>0</v>
      </c>
      <c r="N525" s="887">
        <f t="shared" si="229"/>
        <v>0</v>
      </c>
      <c r="O525" s="887">
        <f t="shared" ca="1" si="227"/>
        <v>0</v>
      </c>
      <c r="P525" s="887">
        <f t="shared" si="228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0</v>
      </c>
      <c r="M526" s="881">
        <f t="shared" si="230"/>
        <v>0</v>
      </c>
      <c r="N526" s="881">
        <f t="shared" si="230"/>
        <v>0</v>
      </c>
      <c r="O526" s="881">
        <f t="shared" ca="1" si="227"/>
        <v>0</v>
      </c>
      <c r="P526" s="881">
        <f t="shared" si="228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IFERROR(__xludf.DUMMYFUNCTION("IMPORTRANGE(""https://docs.google.com/spreadsheets/d/1QqKyyYR6Q21VydFLVH3TRQUabQu_ym0Zz7PgGX0-kHA/edit?usp=sharing"",""แผน!GQ77"")"),0)</f>
        <v>0</v>
      </c>
      <c r="M528" s="887">
        <v>0</v>
      </c>
      <c r="N528" s="887">
        <f>N529+N530+N531+N532</f>
        <v>0</v>
      </c>
      <c r="O528" s="887">
        <f t="shared" ca="1" si="227"/>
        <v>0</v>
      </c>
      <c r="P528" s="887">
        <f t="shared" si="228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IFERROR(__xludf.DUMMYFUNCTION("IMPORTRANGE(""https://docs.google.com/spreadsheets/d/1QqKyyYR6Q21VydFLVH3TRQUabQu_ym0Zz7PgGX0-kHA/edit?usp=sharing"",""แผน!GT77"")"),0)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IFERROR(__xludf.DUMMYFUNCTION("IMPORTRANGE(""https://docs.google.com/spreadsheets/d/1QqKyyYR6Q21VydFLVH3TRQUabQu_ym0Zz7PgGX0-kHA/edit?usp=sharing"",""แผน!GU77"")"),0)</f>
        <v>0</v>
      </c>
      <c r="J537" s="1019">
        <f ca="1">IF(AND(J538=I538,J539=I539,J540=I540,J541=I541),I537,0)</f>
        <v>0</v>
      </c>
      <c r="K537" s="881">
        <f t="shared" ref="K537:K543" ca="1" si="234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IFERROR(__xludf.DUMMYFUNCTION("IMPORTRANGE(""https://docs.google.com/spreadsheets/d/1QqKyyYR6Q21VydFLVH3TRQUabQu_ym0Zz7PgGX0-kHA/edit?usp=sharing"",""แผน!GV77"")"),0)</f>
        <v>0</v>
      </c>
      <c r="J538" s="1012">
        <v>0</v>
      </c>
      <c r="K538" s="881">
        <f t="shared" ca="1" si="234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IFERROR(__xludf.DUMMYFUNCTION("IMPORTRANGE(""https://docs.google.com/spreadsheets/d/1QqKyyYR6Q21VydFLVH3TRQUabQu_ym0Zz7PgGX0-kHA/edit?usp=sharing"",""แผน!GW77"")"),0)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IFERROR(__xludf.DUMMYFUNCTION("IMPORTRANGE(""https://docs.google.com/spreadsheets/d/1QqKyyYR6Q21VydFLVH3TRQUabQu_ym0Zz7PgGX0-kHA/edit?usp=sharing"",""แผน!GX77"")"),0)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IFERROR(__xludf.DUMMYFUNCTION("IMPORTRANGE(""https://docs.google.com/spreadsheets/d/1QqKyyYR6Q21VydFLVH3TRQUabQu_ym0Zz7PgGX0-kHA/edit?usp=sharing"",""แผน!GY77"")"),0)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IFERROR(__xludf.DUMMYFUNCTION("IMPORTRANGE(""https://docs.google.com/spreadsheets/d/1QqKyyYR6Q21VydFLVH3TRQUabQu_ym0Zz7PgGX0-kHA/edit?usp=sharing"",""แผน!GZ77"")"),0)</f>
        <v>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28605</v>
      </c>
      <c r="J543" s="1384">
        <f t="shared" si="235"/>
        <v>0</v>
      </c>
      <c r="K543" s="1385">
        <f t="shared" ca="1" si="234"/>
        <v>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348529</v>
      </c>
      <c r="M544" s="992">
        <f t="shared" ca="1" si="236"/>
        <v>348529</v>
      </c>
      <c r="N544" s="992">
        <f t="shared" si="236"/>
        <v>145147.09</v>
      </c>
      <c r="O544" s="992">
        <f t="shared" ref="O544:O549" ca="1" si="237">IF(L544&gt;0,N544*100/L544,0)</f>
        <v>41.645627766986394</v>
      </c>
      <c r="P544" s="992">
        <f t="shared" ref="P544:P549" ca="1" si="238">IF(M544&gt;0,N544*100/M544,0)</f>
        <v>41.645627766986394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348529</v>
      </c>
      <c r="M546" s="887">
        <f t="shared" ca="1" si="240"/>
        <v>348529</v>
      </c>
      <c r="N546" s="887">
        <f t="shared" si="240"/>
        <v>145147.09</v>
      </c>
      <c r="O546" s="887">
        <f t="shared" ca="1" si="237"/>
        <v>41.645627766986394</v>
      </c>
      <c r="P546" s="887">
        <f t="shared" ca="1" si="238"/>
        <v>41.645627766986394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348529</v>
      </c>
      <c r="M547" s="881">
        <f t="shared" ca="1" si="241"/>
        <v>348529</v>
      </c>
      <c r="N547" s="881">
        <f t="shared" si="241"/>
        <v>145147.09</v>
      </c>
      <c r="O547" s="881">
        <f t="shared" ca="1" si="237"/>
        <v>41.645627766986394</v>
      </c>
      <c r="P547" s="881">
        <f t="shared" ca="1" si="238"/>
        <v>41.645627766986394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IFERROR(__xludf.DUMMYFUNCTION("IMPORTRANGE(""https://docs.google.com/spreadsheets/d/1QqKyyYR6Q21VydFLVH3TRQUabQu_ym0Zz7PgGX0-kHA/edit?usp=sharing"",""แผน!HB77"")"),348529)</f>
        <v>348529</v>
      </c>
      <c r="M549" s="887">
        <f ca="1">L549</f>
        <v>348529</v>
      </c>
      <c r="N549" s="887">
        <f>N550+N551+N552+N553+N554</f>
        <v>145147.09</v>
      </c>
      <c r="O549" s="887">
        <f t="shared" ca="1" si="237"/>
        <v>41.645627766986394</v>
      </c>
      <c r="P549" s="887">
        <f t="shared" ca="1" si="238"/>
        <v>41.645627766986394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64566.67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f>1200+28045+3750+33051.28+3660+10874.14</f>
        <v>80580.42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IFERROR(__xludf.DUMMYFUNCTION("IMPORTRANGE(""https://docs.google.com/spreadsheets/d/1QqKyyYR6Q21VydFLVH3TRQUabQu_ym0Zz7PgGX0-kHA/edit?usp=sharing"",""แผน!HF77"")"),0)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28605</v>
      </c>
      <c r="J559" s="1377">
        <f t="shared" si="245"/>
        <v>0</v>
      </c>
      <c r="K559" s="1378">
        <f t="shared" ref="K559:K561" ca="1" si="246">IF(I559&gt;0,J559*100/I559,0)</f>
        <v>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IFERROR(__xludf.DUMMYFUNCTION("IMPORTRANGE(""https://docs.google.com/spreadsheets/d/1QqKyyYR6Q21VydFLVH3TRQUabQu_ym0Zz7PgGX0-kHA/edit?usp=sharing"",""แผน!HH77"")"),28605)</f>
        <v>28605</v>
      </c>
      <c r="J560" s="1018">
        <f t="shared" ref="J560:J561" si="247">J562+J564+J566</f>
        <v>28605.34</v>
      </c>
      <c r="K560" s="1162">
        <f t="shared" ca="1" si="246"/>
        <v>100.00118860339101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IFERROR(__xludf.DUMMYFUNCTION("IMPORTRANGE(""https://docs.google.com/spreadsheets/d/1QqKyyYR6Q21VydFLVH3TRQUabQu_ym0Zz7PgGX0-kHA/edit?usp=sharing"",""แผน!HG77"")"),3927)</f>
        <v>3927</v>
      </c>
      <c r="J561" s="1018">
        <f t="shared" si="247"/>
        <v>3927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24700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3423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2580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343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1325.34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161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IFERROR(__xludf.DUMMYFUNCTION("IMPORTRANGE(""https://docs.google.com/spreadsheets/d/1QqKyyYR6Q21VydFLVH3TRQUabQu_ym0Zz7PgGX0-kHA/edit?usp=sharing"",""แผน!HH77"")"),28605)</f>
        <v>28605</v>
      </c>
      <c r="J568" s="1019">
        <f t="shared" ref="J568:J569" si="248">J570+J572+J574</f>
        <v>28605</v>
      </c>
      <c r="K568" s="1162">
        <f t="shared" ref="K568:K569" ca="1" si="249">IF(I568&gt;0,J568*100/I568,0)</f>
        <v>100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IFERROR(__xludf.DUMMYFUNCTION("IMPORTRANGE(""https://docs.google.com/spreadsheets/d/1QqKyyYR6Q21VydFLVH3TRQUabQu_ym0Zz7PgGX0-kHA/edit?usp=sharing"",""แผน!HG77"")"),3927)</f>
        <v>3927</v>
      </c>
      <c r="J569" s="1019">
        <f t="shared" si="248"/>
        <v>3927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24700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3423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2580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343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1325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161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IFERROR(__xludf.DUMMYFUNCTION("IMPORTRANGE(""https://docs.google.com/spreadsheets/d/1QqKyyYR6Q21VydFLVH3TRQUabQu_ym0Zz7PgGX0-kHA/edit?usp=sharing"",""แผน!HH77"")"),28605)</f>
        <v>28605</v>
      </c>
      <c r="J576" s="1019">
        <f t="shared" ref="J576:J577" si="250">J578+J580+J582+J588+J590</f>
        <v>0</v>
      </c>
      <c r="K576" s="1162">
        <f t="shared" ref="K576:K577" ca="1" si="251">IF(I576&gt;0,J576*100/I576,0)</f>
        <v>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IFERROR(__xludf.DUMMYFUNCTION("IMPORTRANGE(""https://docs.google.com/spreadsheets/d/1QqKyyYR6Q21VydFLVH3TRQUabQu_ym0Zz7PgGX0-kHA/edit?usp=sharing"",""แผน!HG77"")"),3927)</f>
        <v>3927</v>
      </c>
      <c r="J577" s="1019">
        <f t="shared" si="250"/>
        <v>0</v>
      </c>
      <c r="K577" s="1162">
        <f t="shared" ca="1" si="251"/>
        <v>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0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0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0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0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0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0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1717.29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IFERROR(__xludf.DUMMYFUNCTION("IMPORTRANGE(""https://docs.google.com/spreadsheets/d/1QqKyyYR6Q21VydFLVH3TRQUabQu_ym0Zz7PgGX0-kHA/edit?usp=sharing"",""แผน!HJ77"")"),1717.29)</f>
        <v>1717.29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IFERROR(__xludf.DUMMYFUNCTION("IMPORTRANGE(""https://docs.google.com/spreadsheets/d/1QqKyyYR6Q21VydFLVH3TRQUabQu_ym0Zz7PgGX0-kHA/edit?usp=sharing"",""แผน!HI77"")"),137)</f>
        <v>137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IFERROR(__xludf.DUMMYFUNCTION("IMPORTRANGE(""https://docs.google.com/spreadsheets/d/1QqKyyYR6Q21VydFLVH3TRQUabQu_ym0Zz7PgGX0-kHA/edit?usp=sharing"",""แผน!HL77"")"),53)</f>
        <v>53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IFERROR(__xludf.DUMMYFUNCTION("IMPORTRANGE(""https://docs.google.com/spreadsheets/d/1QqKyyYR6Q21VydFLVH3TRQUabQu_ym0Zz7PgGX0-kHA/edit?usp=sharing"",""แผน!HK77"")"),6)</f>
        <v>6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 hidden="1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 hidden="1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0</v>
      </c>
      <c r="M629" s="1020">
        <f t="shared" si="263"/>
        <v>0</v>
      </c>
      <c r="N629" s="1020">
        <f t="shared" si="263"/>
        <v>0</v>
      </c>
      <c r="O629" s="1020">
        <f t="shared" ref="O629:O634" ca="1" si="264">IF(L629&gt;0,N629*100/L629,0)</f>
        <v>0</v>
      </c>
      <c r="P629" s="1020">
        <f t="shared" ref="P629:P634" si="265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0</v>
      </c>
      <c r="M631" s="887">
        <f t="shared" si="266"/>
        <v>0</v>
      </c>
      <c r="N631" s="887">
        <f t="shared" si="266"/>
        <v>0</v>
      </c>
      <c r="O631" s="887">
        <f t="shared" ca="1" si="264"/>
        <v>0</v>
      </c>
      <c r="P631" s="887">
        <f t="shared" si="265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 hidden="1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0</v>
      </c>
      <c r="M632" s="881">
        <f t="shared" si="267"/>
        <v>0</v>
      </c>
      <c r="N632" s="881">
        <f t="shared" si="267"/>
        <v>0</v>
      </c>
      <c r="O632" s="881">
        <f t="shared" ca="1" si="264"/>
        <v>0</v>
      </c>
      <c r="P632" s="881">
        <f t="shared" si="265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IFERROR(__xludf.DUMMYFUNCTION("IMPORTRANGE(""https://docs.google.com/spreadsheets/d/1QqKyyYR6Q21VydFLVH3TRQUabQu_ym0Zz7PgGX0-kHA/edit?usp=sharing"",""แผน!HN77"")"),0)</f>
        <v>0</v>
      </c>
      <c r="M634" s="887">
        <v>0</v>
      </c>
      <c r="N634" s="887">
        <f>N635+N636+N637+N638</f>
        <v>0</v>
      </c>
      <c r="O634" s="887">
        <f t="shared" ca="1" si="264"/>
        <v>0</v>
      </c>
      <c r="P634" s="887">
        <f t="shared" si="265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 hidden="1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 hidden="1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 hidden="1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 hidden="1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 hidden="1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IFERROR(__xludf.DUMMYFUNCTION("IMPORTRANGE(""https://docs.google.com/spreadsheets/d/1QqKyyYR6Q21VydFLVH3TRQUabQu_ym0Zz7PgGX0-kHA/edit?usp=sharing"",""แผน!HQ77"")"),0)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 hidden="1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 hidden="1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IFERROR(__xludf.DUMMYFUNCTION("IMPORTRANGE(""https://docs.google.com/spreadsheets/d/1QqKyyYR6Q21VydFLVH3TRQUabQu_ym0Zz7PgGX0-kHA/edit?usp=sharing"",""แผน!HR77"")"),0)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 hidden="1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IFERROR(__xludf.DUMMYFUNCTION("IMPORTRANGE(""https://docs.google.com/spreadsheets/d/1QqKyyYR6Q21VydFLVH3TRQUabQu_ym0Zz7PgGX0-kHA/edit?usp=sharing"",""แผน!HR77"")"),0)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 hidden="1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IFERROR(__xludf.DUMMYFUNCTION("IMPORTRANGE(""https://docs.google.com/spreadsheets/d/1XWAQStnk-4SwqDmLtmXYiTMKHgktTP8We1SCoS47DrQ/edit?usp=sharing"",""จัดที่ดิน!AS77"")"),0)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 hidden="1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IFERROR(__xludf.DUMMYFUNCTION("IMPORTRANGE(""https://docs.google.com/spreadsheets/d/1XWAQStnk-4SwqDmLtmXYiTMKHgktTP8We1SCoS47DrQ/edit?usp=sharing"",""จัดที่ดิน!AT77"")"),0)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 hidden="1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IFERROR(__xludf.DUMMYFUNCTION("IMPORTRANGE(""https://docs.google.com/spreadsheets/d/1QqKyyYR6Q21VydFLVH3TRQUabQu_ym0Zz7PgGX0-kHA/edit?usp=sharing"",""แผน!HS77"")"),0)</f>
        <v>0</v>
      </c>
      <c r="J647" s="880">
        <f ca="1">IFERROR(__xludf.DUMMYFUNCTION("IMPORTRANGE(""https://docs.google.com/spreadsheets/d/1XWAQStnk-4SwqDmLtmXYiTMKHgktTP8We1SCoS47DrQ/edit?usp=sharing"",""จัดที่ดิน!AU77"")"),1)</f>
        <v>1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 hidden="1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IFERROR(__xludf.DUMMYFUNCTION("IMPORTRANGE(""https://docs.google.com/spreadsheets/d/1XWAQStnk-4SwqDmLtmXYiTMKHgktTP8We1SCoS47DrQ/edit?usp=sharing"",""จัดที่ดิน!AV77"")"),0.15)</f>
        <v>0.15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 hidden="1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IFERROR(__xludf.DUMMYFUNCTION("IMPORTRANGE(""https://docs.google.com/spreadsheets/d/1QqKyyYR6Q21VydFLVH3TRQUabQu_ym0Zz7PgGX0-kHA/edit?usp=sharing"",""แผน!HS77"")"),0)</f>
        <v>0</v>
      </c>
      <c r="J649" s="880">
        <f ca="1">IFERROR(__xludf.DUMMYFUNCTION("IMPORTRANGE(""https://docs.google.com/spreadsheets/d/1XWAQStnk-4SwqDmLtmXYiTMKHgktTP8We1SCoS47DrQ/edit?usp=sharing"",""จัดที่ดิน!AW77"")"),1)</f>
        <v>1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 hidden="1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IFERROR(__xludf.DUMMYFUNCTION("IMPORTRANGE(""https://docs.google.com/spreadsheets/d/1XWAQStnk-4SwqDmLtmXYiTMKHgktTP8We1SCoS47DrQ/edit?usp=sharing"",""จัดที่ดิน!AX77"")"),0.15)</f>
        <v>0.15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 hidden="1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IFERROR(__xludf.DUMMYFUNCTION("IMPORTRANGE(""https://docs.google.com/spreadsheets/d/1QqKyyYR6Q21VydFLVH3TRQUabQu_ym0Zz7PgGX0-kHA/edit?usp=sharing"",""แผน!HS77"")"),0)</f>
        <v>0</v>
      </c>
      <c r="J651" s="880">
        <f ca="1">IFERROR(__xludf.DUMMYFUNCTION("IMPORTRANGE(""https://docs.google.com/spreadsheets/d/1XWAQStnk-4SwqDmLtmXYiTMKHgktTP8We1SCoS47DrQ/edit?usp=sharing"",""จัดที่ดิน!AY77"")"),0)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 hidden="1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IFERROR(__xludf.DUMMYFUNCTION("IMPORTRANGE(""https://docs.google.com/spreadsheets/d/1XWAQStnk-4SwqDmLtmXYiTMKHgktTP8We1SCoS47DrQ/edit?usp=sharing"",""จัดที่ดิน!AZ77"")"),0)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 hidden="1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0</v>
      </c>
      <c r="M655" s="1020">
        <f t="shared" si="273"/>
        <v>0</v>
      </c>
      <c r="N655" s="1020">
        <f t="shared" si="273"/>
        <v>0</v>
      </c>
      <c r="O655" s="1020">
        <f t="shared" ref="O655:O660" ca="1" si="274">IF(L655&gt;0,N655*100/L655,0)</f>
        <v>0</v>
      </c>
      <c r="P655" s="1020">
        <f t="shared" ref="P655:P660" si="275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0</v>
      </c>
      <c r="M657" s="887">
        <f t="shared" si="276"/>
        <v>0</v>
      </c>
      <c r="N657" s="887">
        <f t="shared" si="276"/>
        <v>0</v>
      </c>
      <c r="O657" s="887">
        <f t="shared" ca="1" si="274"/>
        <v>0</v>
      </c>
      <c r="P657" s="887">
        <f t="shared" si="275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0</v>
      </c>
      <c r="M658" s="881">
        <f t="shared" si="277"/>
        <v>0</v>
      </c>
      <c r="N658" s="881">
        <f t="shared" si="277"/>
        <v>0</v>
      </c>
      <c r="O658" s="881">
        <f t="shared" ca="1" si="274"/>
        <v>0</v>
      </c>
      <c r="P658" s="881">
        <f t="shared" si="275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IFERROR(__xludf.DUMMYFUNCTION("IMPORTRANGE(""https://docs.google.com/spreadsheets/d/1QqKyyYR6Q21VydFLVH3TRQUabQu_ym0Zz7PgGX0-kHA/edit?usp=sharing"",""แผน!HV77"")"),0)</f>
        <v>0</v>
      </c>
      <c r="M660" s="887">
        <v>0</v>
      </c>
      <c r="N660" s="887">
        <f>N661+N662+N663+N664</f>
        <v>0</v>
      </c>
      <c r="O660" s="887">
        <f t="shared" ca="1" si="274"/>
        <v>0</v>
      </c>
      <c r="P660" s="887">
        <f t="shared" si="275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IFERROR(__xludf.DUMMYFUNCTION("IMPORTRANGE(""https://docs.google.com/spreadsheets/d/1QqKyyYR6Q21VydFLVH3TRQUabQu_ym0Zz7PgGX0-kHA/edit?usp=sharing"",""แผน!IA77"")"),0)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IFERROR(__xludf.DUMMYFUNCTION("IMPORTRANGE(""https://docs.google.com/spreadsheets/d/1QqKyyYR6Q21VydFLVH3TRQUabQu_ym0Zz7PgGX0-kHA/edit?usp=sharing"",""แผน!HZ77"")"),0)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IFERROR(__xludf.DUMMYFUNCTION("IMPORTRANGE(""https://docs.google.com/spreadsheets/d/1QqKyyYR6Q21VydFLVH3TRQUabQu_ym0Zz7PgGX0-kHA/edit?usp=sharing"",""แผน!HZ77"")"),0)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IFERROR(__xludf.DUMMYFUNCTION("IMPORTRANGE(""https://docs.google.com/spreadsheets/d/1QqKyyYR6Q21VydFLVH3TRQUabQu_ym0Zz7PgGX0-kHA/edit?usp=sharing"",""แผน!IB77"")"),0)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IFERROR(__xludf.DUMMYFUNCTION("IMPORTRANGE(""https://docs.google.com/spreadsheets/d/1QqKyyYR6Q21VydFLVH3TRQUabQu_ym0Zz7PgGX0-kHA/edit?usp=sharing"",""แผน!HW77"")"),0)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IFERROR(__xludf.DUMMYFUNCTION("IMPORTRANGE(""https://docs.google.com/spreadsheets/d/1QqKyyYR6Q21VydFLVH3TRQUabQu_ym0Zz7PgGX0-kHA/edit?usp=sharing"",""แผน!IC77"")"),0)</f>
        <v>0</v>
      </c>
      <c r="J699" s="880">
        <f ca="1">IFERROR(__xludf.DUMMYFUNCTION("IMPORTRANGE(""https://docs.google.com/spreadsheets/d/1XWAQStnk-4SwqDmLtmXYiTMKHgktTP8We1SCoS47DrQ/edit?usp=sharing"",""จัดที่ดิน!BB77"")"),0)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IFERROR(__xludf.DUMMYFUNCTION("IMPORTRANGE(""https://docs.google.com/spreadsheets/d/1QqKyyYR6Q21VydFLVH3TRQUabQu_ym0Zz7PgGX0-kHA/edit?usp=sharing"",""แผน!ID77"")"),0)</f>
        <v>0</v>
      </c>
      <c r="J700" s="880">
        <f ca="1">IFERROR(__xludf.DUMMYFUNCTION("IMPORTRANGE(""https://docs.google.com/spreadsheets/d/1XWAQStnk-4SwqDmLtmXYiTMKHgktTP8We1SCoS47DrQ/edit?usp=sharing"",""จัดที่ดิน!BD77"")"),0)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IFERROR(__xludf.DUMMYFUNCTION("IMPORTRANGE(""https://docs.google.com/spreadsheets/d/1QqKyyYR6Q21VydFLVH3TRQUabQu_ym0Zz7PgGX0-kHA/edit?usp=sharing"",""แผน!IE77"")"),0)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IFERROR(__xludf.DUMMYFUNCTION("IMPORTRANGE(""https://docs.google.com/spreadsheets/d/1QqKyyYR6Q21VydFLVH3TRQUabQu_ym0Zz7PgGX0-kHA/edit?usp=sharing"",""แผน!IF77"")"),0)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IFERROR(__xludf.DUMMYFUNCTION("IMPORTRANGE(""https://docs.google.com/spreadsheets/d/1QqKyyYR6Q21VydFLVH3TRQUabQu_ym0Zz7PgGX0-kHA/edit?usp=sharing"",""แผน!IG77"")"),0)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IFERROR(__xludf.DUMMYFUNCTION("IMPORTRANGE(""https://docs.google.com/spreadsheets/d/1QqKyyYR6Q21VydFLVH3TRQUabQu_ym0Zz7PgGX0-kHA/edit?usp=sharing"",""แผน!IH77"")"),0)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IFERROR(__xludf.DUMMYFUNCTION("IMPORTRANGE(""https://docs.google.com/spreadsheets/d/1XWAQStnk-4SwqDmLtmXYiTMKHgktTP8We1SCoS47DrQ/edit?usp=sharing"",""จัดที่ดิน!BF77"")"),0)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IFERROR(__xludf.DUMMYFUNCTION("IMPORTRANGE(""https://docs.google.com/spreadsheets/d/1XWAQStnk-4SwqDmLtmXYiTMKHgktTP8We1SCoS47DrQ/edit?usp=sharing"",""จัดที่ดิน!BG77"")"),0)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IFERROR(__xludf.DUMMYFUNCTION("IMPORTRANGE(""https://docs.google.com/spreadsheets/d/1QqKyyYR6Q21VydFLVH3TRQUabQu_ym0Zz7PgGX0-kHA/edit?usp=sharing"",""แผน!II77"")"),0)</f>
        <v>0</v>
      </c>
      <c r="J720" s="880">
        <f ca="1">IFERROR(__xludf.DUMMYFUNCTION("IMPORTRANGE(""https://docs.google.com/spreadsheets/d/1XWAQStnk-4SwqDmLtmXYiTMKHgktTP8We1SCoS47DrQ/edit?usp=sharing"",""จัดที่ดิน!BH77"")"),0)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IFERROR(__xludf.DUMMYFUNCTION("IMPORTRANGE(""https://docs.google.com/spreadsheets/d/1QqKyyYR6Q21VydFLVH3TRQUabQu_ym0Zz7PgGX0-kHA/edit?usp=sharing"",""แผน!IJ77"")"),0)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IFERROR(__xludf.DUMMYFUNCTION("IMPORTRANGE(""https://docs.google.com/spreadsheets/d/1QqKyyYR6Q21VydFLVH3TRQUabQu_ym0Zz7PgGX0-kHA/edit?usp=sharing"",""แผน!IK77"")"),0)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IFERROR(__xludf.DUMMYFUNCTION("IMPORTRANGE(""https://docs.google.com/spreadsheets/d/1QqKyyYR6Q21VydFLVH3TRQUabQu_ym0Zz7PgGX0-kHA/edit?usp=sharing"",""แผน!IL77"")"),0)</f>
        <v>0</v>
      </c>
      <c r="J723" s="880">
        <f ca="1">IFERROR(__xludf.DUMMYFUNCTION("IMPORTRANGE(""https://docs.google.com/spreadsheets/d/1XWAQStnk-4SwqDmLtmXYiTMKHgktTP8We1SCoS47DrQ/edit?usp=sharing"",""จัดที่ดิน!BM77"")"),0)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IFERROR(__xludf.DUMMYFUNCTION("IMPORTRANGE(""https://docs.google.com/spreadsheets/d/1XWAQStnk-4SwqDmLtmXYiTMKHgktTP8We1SCoS47DrQ/edit?usp=sharing"",""จัดที่ดิน!BN77"")"),0)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IFERROR(__xludf.DUMMYFUNCTION("IMPORTRANGE(""https://docs.google.com/spreadsheets/d/1QqKyyYR6Q21VydFLVH3TRQUabQu_ym0Zz7PgGX0-kHA/edit?usp=sharing"",""แผน!IM77"")"),0)</f>
        <v>0</v>
      </c>
      <c r="J725" s="880">
        <f ca="1">IFERROR(__xludf.DUMMYFUNCTION("IMPORTRANGE(""https://docs.google.com/spreadsheets/d/1XWAQStnk-4SwqDmLtmXYiTMKHgktTP8We1SCoS47DrQ/edit?usp=sharing"",""จัดที่ดิน!BO77"")"),0)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IFERROR(__xludf.DUMMYFUNCTION("IMPORTRANGE(""https://docs.google.com/spreadsheets/d/1QqKyyYR6Q21VydFLVH3TRQUabQu_ym0Zz7PgGX0-kHA/edit?usp=sharing"",""แผน!IN77"")"),0)</f>
        <v>0</v>
      </c>
      <c r="J726" s="880">
        <f ca="1">IFERROR(__xludf.DUMMYFUNCTION("IMPORTRANGE(""https://docs.google.com/spreadsheets/d/1XWAQStnk-4SwqDmLtmXYiTMKHgktTP8We1SCoS47DrQ/edit?usp=sharing"",""จัดที่ดิน!BR77"")"),0)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IFERROR(__xludf.DUMMYFUNCTION("IMPORTRANGE(""https://docs.google.com/spreadsheets/d/1XWAQStnk-4SwqDmLtmXYiTMKHgktTP8We1SCoS47DrQ/edit?usp=sharing"",""จัดที่ดิน!BS77"")"),0)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IFERROR(__xludf.DUMMYFUNCTION("IMPORTRANGE(""https://docs.google.com/spreadsheets/d/1QqKyyYR6Q21VydFLVH3TRQUabQu_ym0Zz7PgGX0-kHA/edit?usp=sharing"",""แผน!IO77"")"),0)</f>
        <v>0</v>
      </c>
      <c r="J728" s="880">
        <f ca="1">IFERROR(__xludf.DUMMYFUNCTION("IMPORTRANGE(""https://docs.google.com/spreadsheets/d/1XWAQStnk-4SwqDmLtmXYiTMKHgktTP8We1SCoS47DrQ/edit?usp=sharing"",""จัดที่ดิน!BT77"")"),0)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IFERROR(__xludf.DUMMYFUNCTION("IMPORTRANGE(""https://docs.google.com/spreadsheets/d/1QqKyyYR6Q21VydFLVH3TRQUabQu_ym0Zz7PgGX0-kHA/edit?usp=sharing"",""แผน!IP77"")"),0)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IFERROR(__xludf.DUMMYFUNCTION("IMPORTRANGE(""https://docs.google.com/spreadsheets/d/1QqKyyYR6Q21VydFLVH3TRQUabQu_ym0Zz7PgGX0-kHA/edit?usp=sharing"",""แผน!JJ77"")"),0)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IFERROR(__xludf.DUMMYFUNCTION("IMPORTRANGE(""https://docs.google.com/spreadsheets/d/1QqKyyYR6Q21VydFLVH3TRQUabQu_ym0Zz7PgGX0-kHA/edit?usp=sharing"",""แผน!JN77"")"),0)</f>
        <v>0</v>
      </c>
      <c r="J800" s="997">
        <f ca="1">IFERROR(__xludf.DUMMYFUNCTION("IMPORTRANGE(""https://docs.google.com/spreadsheets/d/1MaWodYyGHDf7siQLGxnXhG4mBNTNIuy296niS2xXulU/edit?usp=sharing"",""RTK!H77"")"),0)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IFERROR(__xludf.DUMMYFUNCTION("IMPORTRANGE(""https://docs.google.com/spreadsheets/d/1MaWodYyGHDf7siQLGxnXhG4mBNTNIuy296niS2xXulU/edit?usp=sharing"",""RTK!I77"")"),0)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>
        <v>0</v>
      </c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>
        <v>0</v>
      </c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336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880">
        <f ca="1">IFERROR(__xludf.DUMMYFUNCTION("IMPORTRANGE(""https://docs.google.com/spreadsheets/d/19vJNZY_5yjcGF2XGBMNZRCAIB0Kwfpjp8YEOfu-bneM/edit?usp=sharing"",""งานกองทุน!F77"")"),785564.5)</f>
        <v>785564.5</v>
      </c>
      <c r="K821" s="881">
        <f t="shared" ref="K821:K828" ca="1" si="335">IF(I821&gt;0,J821*100/I821,0)</f>
        <v>68.707978855948198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IFERROR(__xludf.DUMMYFUNCTION("IMPORTRANGE(""https://docs.google.com/spreadsheets/d/19vJNZY_5yjcGF2XGBMNZRCAIB0Kwfpjp8YEOfu-bneM/edit?usp=sharing"",""งานกองทุน!C77"")"),75)</f>
        <v>75</v>
      </c>
      <c r="J822" s="880">
        <f ca="1">IFERROR(__xludf.DUMMYFUNCTION("IMPORTRANGE(""https://docs.google.com/spreadsheets/d/19vJNZY_5yjcGF2XGBMNZRCAIB0Kwfpjp8YEOfu-bneM/edit?usp=sharing"",""งานกองทุน!E77"")"),55)</f>
        <v>55</v>
      </c>
      <c r="K822" s="881">
        <f t="shared" ca="1" si="335"/>
        <v>73.333333333333329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880">
        <f ca="1">IFERROR(__xludf.DUMMYFUNCTION("IMPORTRANGE(""https://docs.google.com/spreadsheets/d/19vJNZY_5yjcGF2XGBMNZRCAIB0Kwfpjp8YEOfu-bneM/edit?usp=sharing"",""งานกองทุน!K77"")"),337247.63)</f>
        <v>337247.63</v>
      </c>
      <c r="K823" s="881">
        <f t="shared" ca="1" si="335"/>
        <v>15.923142067408815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IFERROR(__xludf.DUMMYFUNCTION("IMPORTRANGE(""https://docs.google.com/spreadsheets/d/19vJNZY_5yjcGF2XGBMNZRCAIB0Kwfpjp8YEOfu-bneM/edit?usp=sharing"",""งานกองทุน!H77"")"),82)</f>
        <v>82</v>
      </c>
      <c r="J824" s="880">
        <f ca="1">IFERROR(__xludf.DUMMYFUNCTION("IMPORTRANGE(""https://docs.google.com/spreadsheets/d/19vJNZY_5yjcGF2XGBMNZRCAIB0Kwfpjp8YEOfu-bneM/edit?usp=sharing"",""งานกองทุน!J77"")"),39)</f>
        <v>39</v>
      </c>
      <c r="K824" s="881">
        <f t="shared" ca="1" si="335"/>
        <v>47.560975609756099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IFERROR(__xludf.DUMMYFUNCTION("IMPORTRANGE(""https://docs.google.com/spreadsheets/d/19vJNZY_5yjcGF2XGBMNZRCAIB0Kwfpjp8YEOfu-bneM/edit?usp=sharing"",""งานกองทุน!N77"")"),0)</f>
        <v>0</v>
      </c>
      <c r="J825" s="880">
        <f ca="1">IFERROR(__xludf.DUMMYFUNCTION("IMPORTRANGE(""https://docs.google.com/spreadsheets/d/19vJNZY_5yjcGF2XGBMNZRCAIB0Kwfpjp8YEOfu-bneM/edit?usp=sharing"",""งานกองทุน!P77"")"),0)</f>
        <v>0</v>
      </c>
      <c r="K825" s="881">
        <f t="shared" ca="1" si="335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IFERROR(__xludf.DUMMYFUNCTION("IMPORTRANGE(""https://docs.google.com/spreadsheets/d/19vJNZY_5yjcGF2XGBMNZRCAIB0Kwfpjp8YEOfu-bneM/edit?usp=sharing"",""งานกองทุน!M77"")"),0)</f>
        <v>0</v>
      </c>
      <c r="J826" s="880">
        <f ca="1">IFERROR(__xludf.DUMMYFUNCTION("IMPORTRANGE(""https://docs.google.com/spreadsheets/d/19vJNZY_5yjcGF2XGBMNZRCAIB0Kwfpjp8YEOfu-bneM/edit?usp=sharing"",""งานกองทุน!O77"")"),0)</f>
        <v>0</v>
      </c>
      <c r="K826" s="881">
        <f t="shared" ca="1" si="335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IFERROR(__xludf.DUMMYFUNCTION("IMPORTRANGE(""https://docs.google.com/spreadsheets/d/19vJNZY_5yjcGF2XGBMNZRCAIB0Kwfpjp8YEOfu-bneM/edit?usp=sharing"",""งานกองทุน!S77"")"),980000)</f>
        <v>980000</v>
      </c>
      <c r="J827" s="880">
        <f ca="1">IFERROR(__xludf.DUMMYFUNCTION("IMPORTRANGE(""https://docs.google.com/spreadsheets/d/19vJNZY_5yjcGF2XGBMNZRCAIB0Kwfpjp8YEOfu-bneM/edit?usp=sharing"",""งานกองทุน!U77"")"),325000)</f>
        <v>325000</v>
      </c>
      <c r="K827" s="881">
        <f t="shared" ca="1" si="335"/>
        <v>33.163265306122447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IFERROR(__xludf.DUMMYFUNCTION("IMPORTRANGE(""https://docs.google.com/spreadsheets/d/19vJNZY_5yjcGF2XGBMNZRCAIB0Kwfpjp8YEOfu-bneM/edit?usp=sharing"",""งานกองทุน!R77"")"),39)</f>
        <v>39</v>
      </c>
      <c r="J828" s="1138">
        <f ca="1">IFERROR(__xludf.DUMMYFUNCTION("IMPORTRANGE(""https://docs.google.com/spreadsheets/d/19vJNZY_5yjcGF2XGBMNZRCAIB0Kwfpjp8YEOfu-bneM/edit?usp=sharing"",""งานกองทุน!T77"")"),14)</f>
        <v>14</v>
      </c>
      <c r="K828" s="1239">
        <f t="shared" ca="1" si="335"/>
        <v>35.897435897435898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portrait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A7D96-CC8A-44B4-AFD0-5D60280D28B0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10" width="16.14062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339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4701598</v>
      </c>
      <c r="M8" s="867">
        <f t="shared" ca="1" si="0"/>
        <v>4183024</v>
      </c>
      <c r="N8" s="867">
        <f t="shared" ca="1" si="0"/>
        <v>2855743.1</v>
      </c>
      <c r="O8" s="867">
        <f t="shared" ref="O8:O16" ca="1" si="1">IF(L8&gt;0,N8*100/L8,0)</f>
        <v>60.739839943780815</v>
      </c>
      <c r="P8" s="867">
        <f t="shared" ref="P8:P16" ca="1" si="2">IF(M8&gt;0,N8*100/M8,0)</f>
        <v>68.26982345786206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4701598</v>
      </c>
      <c r="M10" s="874">
        <f t="shared" ca="1" si="3"/>
        <v>4183024</v>
      </c>
      <c r="N10" s="874">
        <f t="shared" ca="1" si="3"/>
        <v>2855743.1</v>
      </c>
      <c r="O10" s="874">
        <f t="shared" ca="1" si="1"/>
        <v>60.739839943780815</v>
      </c>
      <c r="P10" s="874">
        <f t="shared" ca="1" si="2"/>
        <v>68.26982345786206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4027598</v>
      </c>
      <c r="M11" s="881">
        <f t="shared" ca="1" si="4"/>
        <v>3510024</v>
      </c>
      <c r="N11" s="881">
        <f t="shared" ca="1" si="4"/>
        <v>2182743.1</v>
      </c>
      <c r="O11" s="881">
        <f t="shared" ca="1" si="1"/>
        <v>54.194661433439983</v>
      </c>
      <c r="P11" s="881">
        <f t="shared" ca="1" si="2"/>
        <v>62.185987902077024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4027598</v>
      </c>
      <c r="M13" s="887">
        <f t="shared" ca="1" si="5"/>
        <v>3510024</v>
      </c>
      <c r="N13" s="887">
        <f t="shared" ca="1" si="5"/>
        <v>2182743.1</v>
      </c>
      <c r="O13" s="887">
        <f t="shared" ca="1" si="1"/>
        <v>54.194661433439983</v>
      </c>
      <c r="P13" s="887">
        <f t="shared" ca="1" si="2"/>
        <v>62.185987902077024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674000</v>
      </c>
      <c r="M14" s="881">
        <f t="shared" ca="1" si="6"/>
        <v>673000</v>
      </c>
      <c r="N14" s="881">
        <f t="shared" ca="1" si="6"/>
        <v>673000</v>
      </c>
      <c r="O14" s="881">
        <f t="shared" ca="1" si="1"/>
        <v>99.85163204747775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674000</v>
      </c>
      <c r="M16" s="893">
        <f t="shared" ca="1" si="7"/>
        <v>673000</v>
      </c>
      <c r="N16" s="893">
        <f t="shared" ca="1" si="7"/>
        <v>673000</v>
      </c>
      <c r="O16" s="893">
        <f t="shared" ca="1" si="1"/>
        <v>99.85163204747775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3908755</v>
      </c>
      <c r="M18" s="867">
        <f t="shared" ca="1" si="8"/>
        <v>3390181</v>
      </c>
      <c r="N18" s="867">
        <f t="shared" ca="1" si="8"/>
        <v>2615088.92</v>
      </c>
      <c r="O18" s="867">
        <f t="shared" ref="O18:O26" ca="1" si="9">IF(L18&gt;0,N18*100/L18,0)</f>
        <v>66.903372557246485</v>
      </c>
      <c r="P18" s="867">
        <f t="shared" ref="P18:P26" ca="1" si="10">IF(M18&gt;0,N18*100/M18,0)</f>
        <v>77.137147544629627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3908755</v>
      </c>
      <c r="M20" s="874">
        <f t="shared" ca="1" si="11"/>
        <v>3390181</v>
      </c>
      <c r="N20" s="874">
        <f t="shared" ca="1" si="11"/>
        <v>2615088.92</v>
      </c>
      <c r="O20" s="874">
        <f t="shared" ca="1" si="9"/>
        <v>66.903372557246485</v>
      </c>
      <c r="P20" s="874">
        <f t="shared" ca="1" si="10"/>
        <v>77.137147544629627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3234755</v>
      </c>
      <c r="M21" s="881">
        <f t="shared" ca="1" si="12"/>
        <v>2717181</v>
      </c>
      <c r="N21" s="881">
        <f t="shared" ca="1" si="12"/>
        <v>1942088.92</v>
      </c>
      <c r="O21" s="881">
        <f t="shared" ca="1" si="9"/>
        <v>60.038207530400292</v>
      </c>
      <c r="P21" s="881">
        <f t="shared" ca="1" si="10"/>
        <v>71.474403803059133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3234755</v>
      </c>
      <c r="M23" s="887">
        <f t="shared" ca="1" si="13"/>
        <v>2717181</v>
      </c>
      <c r="N23" s="887">
        <f t="shared" ca="1" si="13"/>
        <v>1942088.92</v>
      </c>
      <c r="O23" s="887">
        <f t="shared" ca="1" si="9"/>
        <v>60.038207530400292</v>
      </c>
      <c r="P23" s="887">
        <f t="shared" ca="1" si="10"/>
        <v>71.474403803059133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674000</v>
      </c>
      <c r="M24" s="881">
        <f t="shared" ca="1" si="14"/>
        <v>673000</v>
      </c>
      <c r="N24" s="881">
        <f t="shared" ca="1" si="14"/>
        <v>673000</v>
      </c>
      <c r="O24" s="881">
        <f t="shared" ca="1" si="9"/>
        <v>99.85163204747775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674000</v>
      </c>
      <c r="M26" s="893">
        <f t="shared" ca="1" si="15"/>
        <v>673000</v>
      </c>
      <c r="N26" s="893">
        <f t="shared" ca="1" si="15"/>
        <v>673000</v>
      </c>
      <c r="O26" s="893">
        <f t="shared" ca="1" si="9"/>
        <v>99.85163204747775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792843</v>
      </c>
      <c r="M28" s="867">
        <f t="shared" ca="1" si="16"/>
        <v>792843</v>
      </c>
      <c r="N28" s="867">
        <f t="shared" si="16"/>
        <v>240654.18</v>
      </c>
      <c r="O28" s="867">
        <f t="shared" ref="O28:O37" ca="1" si="17">IF(L28&gt;0,N28*100/L28,0)</f>
        <v>30.353320897075463</v>
      </c>
      <c r="P28" s="867">
        <f t="shared" ref="P28:P37" ca="1" si="18">IF(M28&gt;0,N28*100/M28,0)</f>
        <v>30.353320897075463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792843</v>
      </c>
      <c r="M30" s="874">
        <f t="shared" ca="1" si="19"/>
        <v>792843</v>
      </c>
      <c r="N30" s="874">
        <f t="shared" si="19"/>
        <v>240654.18</v>
      </c>
      <c r="O30" s="874">
        <f t="shared" ca="1" si="17"/>
        <v>30.353320897075463</v>
      </c>
      <c r="P30" s="874">
        <f t="shared" ca="1" si="18"/>
        <v>30.353320897075463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792843</v>
      </c>
      <c r="M31" s="881">
        <f t="shared" ca="1" si="20"/>
        <v>792843</v>
      </c>
      <c r="N31" s="881">
        <f t="shared" si="20"/>
        <v>240654.18</v>
      </c>
      <c r="O31" s="881">
        <f t="shared" ca="1" si="17"/>
        <v>30.353320897075463</v>
      </c>
      <c r="P31" s="881">
        <f t="shared" ca="1" si="18"/>
        <v>30.353320897075463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792843</v>
      </c>
      <c r="M33" s="887">
        <f t="shared" ca="1" si="21"/>
        <v>792843</v>
      </c>
      <c r="N33" s="887">
        <f t="shared" si="21"/>
        <v>240654.18</v>
      </c>
      <c r="O33" s="887">
        <f t="shared" ca="1" si="17"/>
        <v>30.353320897075463</v>
      </c>
      <c r="P33" s="887">
        <f t="shared" ca="1" si="18"/>
        <v>30.353320897075463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3908755</v>
      </c>
      <c r="M37" s="900">
        <f t="shared" ca="1" si="24"/>
        <v>3390181</v>
      </c>
      <c r="N37" s="900">
        <f t="shared" ca="1" si="24"/>
        <v>2615088.92</v>
      </c>
      <c r="O37" s="900">
        <f t="shared" ca="1" si="17"/>
        <v>66.903372557246485</v>
      </c>
      <c r="P37" s="900">
        <f t="shared" ca="1" si="18"/>
        <v>77.137147544629627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614050</v>
      </c>
      <c r="M41" s="926">
        <f t="shared" ca="1" si="25"/>
        <v>629151</v>
      </c>
      <c r="N41" s="926">
        <f t="shared" ca="1" si="25"/>
        <v>368151</v>
      </c>
      <c r="O41" s="926">
        <f t="shared" ref="O41:O49" ca="1" si="26">IF(L41&gt;0,N41*100/L41,0)</f>
        <v>59.954563960589532</v>
      </c>
      <c r="P41" s="926">
        <f t="shared" ref="P41:P49" ca="1" si="27">IF(M41&gt;0,N41*100/M41,0)</f>
        <v>58.515523300447747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614050</v>
      </c>
      <c r="M43" s="932">
        <f t="shared" ca="1" si="28"/>
        <v>629151</v>
      </c>
      <c r="N43" s="932">
        <f t="shared" ca="1" si="28"/>
        <v>368151</v>
      </c>
      <c r="O43" s="932">
        <f t="shared" ca="1" si="26"/>
        <v>59.954563960589532</v>
      </c>
      <c r="P43" s="932">
        <f t="shared" ca="1" si="27"/>
        <v>58.515523300447747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614050</v>
      </c>
      <c r="M44" s="881">
        <f t="shared" ca="1" si="29"/>
        <v>629151</v>
      </c>
      <c r="N44" s="881">
        <f t="shared" ca="1" si="29"/>
        <v>368151</v>
      </c>
      <c r="O44" s="881">
        <f t="shared" ca="1" si="26"/>
        <v>59.954563960589532</v>
      </c>
      <c r="P44" s="881">
        <f t="shared" ca="1" si="27"/>
        <v>58.515523300447747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IFERROR(__xludf.DUMMYFUNCTION("IMPORTRANGE(""https://docs.google.com/spreadsheets/d/1MeEWN-I1oV_STSDYn1IFDPWt_1FKiwhDph83XaGc0o0/edit?usp=sharing"",""งบพรบ!M78"")"),614050)</f>
        <v>614050</v>
      </c>
      <c r="M46" s="887">
        <f ca="1">IFERROR(__xludf.DUMMYFUNCTION("IMPORTRANGE(""https://docs.google.com/spreadsheets/d/1MeEWN-I1oV_STSDYn1IFDPWt_1FKiwhDph83XaGc0o0/edit?usp=sharing"",""งบพรบ!R78"")"),629151)</f>
        <v>629151</v>
      </c>
      <c r="N46" s="887">
        <f ca="1">IFERROR(__xludf.DUMMYFUNCTION("IMPORTRANGE(""https://docs.google.com/spreadsheets/d/1MeEWN-I1oV_STSDYn1IFDPWt_1FKiwhDph83XaGc0o0/edit?usp=sharing"",""งบพรบ!T78"")"),368151)</f>
        <v>368151</v>
      </c>
      <c r="O46" s="887">
        <f t="shared" ca="1" si="26"/>
        <v>59.954563960589532</v>
      </c>
      <c r="P46" s="887">
        <f t="shared" ca="1" si="27"/>
        <v>58.515523300447747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IFERROR(__xludf.DUMMYFUNCTION("IMPORTRANGE(""https://docs.google.com/spreadsheets/d/1MeEWN-I1oV_STSDYn1IFDPWt_1FKiwhDph83XaGc0o0/edit?usp=sharing"",""งบพรบ!P78"")"),0)</f>
        <v>0</v>
      </c>
      <c r="M49" s="893">
        <f ca="1">IFERROR(__xludf.DUMMYFUNCTION("IMPORTRANGE(""https://docs.google.com/spreadsheets/d/1MeEWN-I1oV_STSDYn1IFDPWt_1FKiwhDph83XaGc0o0/edit?usp=sharing"",""งบพรบ!S78"")"),0)</f>
        <v>0</v>
      </c>
      <c r="N49" s="893">
        <f ca="1">IFERROR(__xludf.DUMMYFUNCTION("IMPORTRANGE(""https://docs.google.com/spreadsheets/d/1MeEWN-I1oV_STSDYn1IFDPWt_1FKiwhDph83XaGc0o0/edit?usp=sharing"",""งบพรบ!U78"")"),0)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1100300</v>
      </c>
      <c r="M53" s="956">
        <f t="shared" ca="1" si="31"/>
        <v>914625</v>
      </c>
      <c r="N53" s="956">
        <f t="shared" ca="1" si="31"/>
        <v>902309.06</v>
      </c>
      <c r="O53" s="956">
        <f t="shared" ref="O53:O61" ca="1" si="32">IF(L53&gt;0,N53*100/L53,0)</f>
        <v>82.005731164227939</v>
      </c>
      <c r="P53" s="956">
        <f t="shared" ref="P53:P61" ca="1" si="33">IF(M53&gt;0,N53*100/M53,0)</f>
        <v>98.653443761104285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1100300</v>
      </c>
      <c r="M55" s="962">
        <f t="shared" ca="1" si="34"/>
        <v>914625</v>
      </c>
      <c r="N55" s="962">
        <f t="shared" ca="1" si="34"/>
        <v>902309.06</v>
      </c>
      <c r="O55" s="962">
        <f t="shared" ca="1" si="32"/>
        <v>82.005731164227939</v>
      </c>
      <c r="P55" s="962">
        <f t="shared" ca="1" si="33"/>
        <v>98.653443761104285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750300</v>
      </c>
      <c r="M56" s="881">
        <f t="shared" ca="1" si="35"/>
        <v>564625</v>
      </c>
      <c r="N56" s="881">
        <f t="shared" ca="1" si="35"/>
        <v>552309.06000000006</v>
      </c>
      <c r="O56" s="881">
        <f t="shared" ca="1" si="32"/>
        <v>73.611763294682135</v>
      </c>
      <c r="P56" s="881">
        <f t="shared" ca="1" si="33"/>
        <v>97.818739871596208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IFERROR(__xludf.DUMMYFUNCTION("IMPORTRANGE(""https://docs.google.com/spreadsheets/d/1MeEWN-I1oV_STSDYn1IFDPWt_1FKiwhDph83XaGc0o0/edit?usp=sharing"",""งบพรบ!W78"")"),750300)</f>
        <v>750300</v>
      </c>
      <c r="M58" s="887">
        <f ca="1">IFERROR(__xludf.DUMMYFUNCTION("IMPORTRANGE(""https://docs.google.com/spreadsheets/d/1MeEWN-I1oV_STSDYn1IFDPWt_1FKiwhDph83XaGc0o0/edit?usp=sharing"",""งบพรบ!AB78"")"),564625)</f>
        <v>564625</v>
      </c>
      <c r="N58" s="887">
        <f ca="1">IFERROR(__xludf.DUMMYFUNCTION("IMPORTRANGE(""https://docs.google.com/spreadsheets/d/1MeEWN-I1oV_STSDYn1IFDPWt_1FKiwhDph83XaGc0o0/edit?usp=sharing"",""งบพรบ!AD78"")"),552309.06)</f>
        <v>552309.06000000006</v>
      </c>
      <c r="O58" s="887">
        <f t="shared" ca="1" si="32"/>
        <v>73.611763294682135</v>
      </c>
      <c r="P58" s="887">
        <f t="shared" ca="1" si="33"/>
        <v>97.818739871596208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350000</v>
      </c>
      <c r="M59" s="881">
        <f t="shared" ca="1" si="36"/>
        <v>350000</v>
      </c>
      <c r="N59" s="881">
        <f t="shared" ca="1" si="36"/>
        <v>350000</v>
      </c>
      <c r="O59" s="881">
        <f t="shared" ca="1" si="32"/>
        <v>100</v>
      </c>
      <c r="P59" s="881">
        <f t="shared" ca="1" si="33"/>
        <v>100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IFERROR(__xludf.DUMMYFUNCTION("IMPORTRANGE(""https://docs.google.com/spreadsheets/d/1MeEWN-I1oV_STSDYn1IFDPWt_1FKiwhDph83XaGc0o0/edit?usp=sharing"",""งบพรบ!Z78"")"),350000)</f>
        <v>350000</v>
      </c>
      <c r="M61" s="893">
        <f ca="1">IFERROR(__xludf.DUMMYFUNCTION("IMPORTRANGE(""https://docs.google.com/spreadsheets/d/1MeEWN-I1oV_STSDYn1IFDPWt_1FKiwhDph83XaGc0o0/edit?usp=sharing"",""งบพรบ!AC78"")"),350000)</f>
        <v>350000</v>
      </c>
      <c r="N61" s="893">
        <f ca="1">IFERROR(__xludf.DUMMYFUNCTION("IMPORTRANGE(""https://docs.google.com/spreadsheets/d/1MeEWN-I1oV_STSDYn1IFDPWt_1FKiwhDph83XaGc0o0/edit?usp=sharing"",""งบพรบ!AE78"")"),350000)</f>
        <v>350000</v>
      </c>
      <c r="O61" s="893">
        <f t="shared" ca="1" si="32"/>
        <v>100</v>
      </c>
      <c r="P61" s="893">
        <f t="shared" ca="1" si="33"/>
        <v>100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IFERROR(__xludf.DUMMYFUNCTION("IMPORTRANGE(""https://docs.google.com/spreadsheets/d/1MeEWN-I1oV_STSDYn1IFDPWt_1FKiwhDph83XaGc0o0/edit?usp=sharing"",""งบพรบ!AG78"")"),0)</f>
        <v>0</v>
      </c>
      <c r="M71" s="887">
        <f ca="1">IFERROR(__xludf.DUMMYFUNCTION("IMPORTRANGE(""https://docs.google.com/spreadsheets/d/1MeEWN-I1oV_STSDYn1IFDPWt_1FKiwhDph83XaGc0o0/edit?usp=sharing"",""งบพรบ!AL78"")"),0)</f>
        <v>0</v>
      </c>
      <c r="N71" s="887">
        <f ca="1">IFERROR(__xludf.DUMMYFUNCTION("IMPORTRANGE(""https://docs.google.com/spreadsheets/d/1MeEWN-I1oV_STSDYn1IFDPWt_1FKiwhDph83XaGc0o0/edit?usp=sharing"",""งบพรบ!AN78"")"),0)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IFERROR(__xludf.DUMMYFUNCTION("IMPORTRANGE(""https://docs.google.com/spreadsheets/d/1MeEWN-I1oV_STSDYn1IFDPWt_1FKiwhDph83XaGc0o0/edit?usp=sharing"",""งบพรบ!AJ78"")"),0)</f>
        <v>0</v>
      </c>
      <c r="M74" s="887">
        <f ca="1">IFERROR(__xludf.DUMMYFUNCTION("IMPORTRANGE(""https://docs.google.com/spreadsheets/d/1MeEWN-I1oV_STSDYn1IFDPWt_1FKiwhDph83XaGc0o0/edit?usp=sharing"",""งบพรบ!AM78"")"),0)</f>
        <v>0</v>
      </c>
      <c r="N74" s="887">
        <f ca="1">IFERROR(__xludf.DUMMYFUNCTION("IMPORTRANGE(""https://docs.google.com/spreadsheets/d/1MeEWN-I1oV_STSDYn1IFDPWt_1FKiwhDph83XaGc0o0/edit?usp=sharing"",""งบพรบ!AO78"")"),0)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IFERROR(__xludf.DUMMYFUNCTION("IMPORTRANGE(""https://docs.google.com/spreadsheets/d/1QqKyyYR6Q21VydFLVH3TRQUabQu_ym0Zz7PgGX0-kHA/edit?usp=sharing"",""แผน!H78"")"),0)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IFERROR(__xludf.DUMMYFUNCTION("IMPORTRANGE(""https://docs.google.com/spreadsheets/d/1QqKyyYR6Q21VydFLVH3TRQUabQu_ym0Zz7PgGX0-kHA/edit?usp=sharing"",""แผน!I78"")"),0)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IFERROR(__xludf.DUMMYFUNCTION("IMPORTRANGE(""https://docs.google.com/spreadsheets/d/1QqKyyYR6Q21VydFLVH3TRQUabQu_ym0Zz7PgGX0-kHA/edit?usp=sharing"",""แผน!F78"")"),0)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IFERROR(__xludf.DUMMYFUNCTION("IMPORTRANGE(""https://docs.google.com/spreadsheets/d/1QqKyyYR6Q21VydFLVH3TRQUabQu_ym0Zz7PgGX0-kHA/edit?usp=sharing"",""แผน!G78"")"),0)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IFERROR(__xludf.DUMMYFUNCTION("IMPORTRANGE(""https://docs.google.com/spreadsheets/d/1QqKyyYR6Q21VydFLVH3TRQUabQu_ym0Zz7PgGX0-kHA/edit?usp=sharing"",""แผน!D78"")"),0)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IFERROR(__xludf.DUMMYFUNCTION("IMPORTRANGE(""https://docs.google.com/spreadsheets/d/1QqKyyYR6Q21VydFLVH3TRQUabQu_ym0Zz7PgGX0-kHA/edit?usp=sharing"",""แผน!E78"")"),0)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IFERROR(__xludf.DUMMYFUNCTION("IMPORTRANGE(""https://docs.google.com/spreadsheets/d/1QqKyyYR6Q21VydFLVH3TRQUabQu_ym0Zz7PgGX0-kHA/edit?usp=sharing"",""แผน!J78"")"),0)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30</v>
      </c>
      <c r="J86" s="982">
        <f t="shared" si="47"/>
        <v>30</v>
      </c>
      <c r="K86" s="983">
        <f t="shared" ref="K86:K87" ca="1" si="48">IF(I86&gt;0,J86*100/I86,0)</f>
        <v>100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10</v>
      </c>
      <c r="J87" s="982">
        <f t="shared" si="47"/>
        <v>10</v>
      </c>
      <c r="K87" s="983">
        <f t="shared" ca="1" si="48"/>
        <v>100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26440</v>
      </c>
      <c r="M88" s="992">
        <f t="shared" ca="1" si="49"/>
        <v>23440</v>
      </c>
      <c r="N88" s="992">
        <f t="shared" ca="1" si="49"/>
        <v>11303</v>
      </c>
      <c r="O88" s="992">
        <f t="shared" ref="O88:O96" ca="1" si="50">IF(L88&gt;0,N88*100/L88,0)</f>
        <v>42.749621785173979</v>
      </c>
      <c r="P88" s="992">
        <f t="shared" ref="P88:P96" ca="1" si="51">IF(M88&gt;0,N88*100/M88,0)</f>
        <v>48.220989761092149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26440</v>
      </c>
      <c r="M90" s="887">
        <f t="shared" ca="1" si="52"/>
        <v>23440</v>
      </c>
      <c r="N90" s="887">
        <f t="shared" ca="1" si="52"/>
        <v>11303</v>
      </c>
      <c r="O90" s="887">
        <f t="shared" ca="1" si="50"/>
        <v>42.749621785173979</v>
      </c>
      <c r="P90" s="887">
        <f t="shared" ca="1" si="51"/>
        <v>48.220989761092149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26440</v>
      </c>
      <c r="M91" s="881">
        <f t="shared" ca="1" si="53"/>
        <v>23440</v>
      </c>
      <c r="N91" s="881">
        <f t="shared" ca="1" si="53"/>
        <v>11303</v>
      </c>
      <c r="O91" s="881">
        <f t="shared" ca="1" si="50"/>
        <v>42.749621785173979</v>
      </c>
      <c r="P91" s="881">
        <f t="shared" ca="1" si="51"/>
        <v>48.220989761092149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IFERROR(__xludf.DUMMYFUNCTION("IMPORTRANGE(""https://docs.google.com/spreadsheets/d/1MeEWN-I1oV_STSDYn1IFDPWt_1FKiwhDph83XaGc0o0/edit?usp=sharing"",""งบพรบ!AQ78"")"),26440)</f>
        <v>26440</v>
      </c>
      <c r="M93" s="887">
        <f ca="1">IFERROR(__xludf.DUMMYFUNCTION("IMPORTRANGE(""https://docs.google.com/spreadsheets/d/1MeEWN-I1oV_STSDYn1IFDPWt_1FKiwhDph83XaGc0o0/edit?usp=sharing"",""งบพรบ!AV78"")"),23440)</f>
        <v>23440</v>
      </c>
      <c r="N93" s="887">
        <f ca="1">IFERROR(__xludf.DUMMYFUNCTION("IMPORTRANGE(""https://docs.google.com/spreadsheets/d/1MeEWN-I1oV_STSDYn1IFDPWt_1FKiwhDph83XaGc0o0/edit?usp=sharing"",""งบพรบ!AX78"")"),11303)</f>
        <v>11303</v>
      </c>
      <c r="O93" s="887">
        <f t="shared" ca="1" si="50"/>
        <v>42.749621785173979</v>
      </c>
      <c r="P93" s="887">
        <f t="shared" ca="1" si="51"/>
        <v>48.220989761092149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IFERROR(__xludf.DUMMYFUNCTION("IMPORTRANGE(""https://docs.google.com/spreadsheets/d/1MeEWN-I1oV_STSDYn1IFDPWt_1FKiwhDph83XaGc0o0/edit?usp=sharing"",""งบพรบ!AT78"")"),0)</f>
        <v>0</v>
      </c>
      <c r="M96" s="887">
        <f ca="1">IFERROR(__xludf.DUMMYFUNCTION("IMPORTRANGE(""https://docs.google.com/spreadsheets/d/1MeEWN-I1oV_STSDYn1IFDPWt_1FKiwhDph83XaGc0o0/edit?usp=sharing"",""งบพรบ!AW78"")"),0)</f>
        <v>0</v>
      </c>
      <c r="N96" s="887">
        <f ca="1">IFERROR(__xludf.DUMMYFUNCTION("IMPORTRANGE(""https://docs.google.com/spreadsheets/d/1MeEWN-I1oV_STSDYn1IFDPWt_1FKiwhDph83XaGc0o0/edit?usp=sharing"",""งบพรบ!AY78"")"),0)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IFERROR(__xludf.DUMMYFUNCTION("IMPORTRANGE(""https://docs.google.com/spreadsheets/d/1QqKyyYR6Q21VydFLVH3TRQUabQu_ym0Zz7PgGX0-kHA/edit?usp=sharing"",""แผน!K78"")"),30)</f>
        <v>30</v>
      </c>
      <c r="J98" s="880">
        <f>J102</f>
        <v>30</v>
      </c>
      <c r="K98" s="881">
        <f t="shared" ref="K98:K100" ca="1" si="55">IF(I98&gt;0,J98*100/I98,0)</f>
        <v>100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IFERROR(__xludf.DUMMYFUNCTION("IMPORTRANGE(""https://docs.google.com/spreadsheets/d/1QqKyyYR6Q21VydFLVH3TRQUabQu_ym0Zz7PgGX0-kHA/edit?usp=sharing"",""แผน!L78"")"),10)</f>
        <v>10</v>
      </c>
      <c r="J99" s="880">
        <f>J104</f>
        <v>10</v>
      </c>
      <c r="K99" s="881">
        <f t="shared" ca="1" si="55"/>
        <v>100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IFERROR(__xludf.DUMMYFUNCTION("IMPORTRANGE(""https://docs.google.com/spreadsheets/d/1QqKyyYR6Q21VydFLVH3TRQUabQu_ym0Zz7PgGX0-kHA/edit?usp=sharing"",""แผน!M78"")"),0)</f>
        <v>0</v>
      </c>
      <c r="J100" s="880">
        <f>J107+J110</f>
        <v>0</v>
      </c>
      <c r="K100" s="881">
        <f t="shared" ca="1" si="55"/>
        <v>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IFERROR(__xludf.DUMMYFUNCTION("IMPORTRANGE(""https://docs.google.com/spreadsheets/d/1QqKyyYR6Q21VydFLVH3TRQUabQu_ym0Zz7PgGX0-kHA/edit?usp=sharing"",""แผน!N78"")"),30)</f>
        <v>30</v>
      </c>
      <c r="J102" s="1012">
        <v>30</v>
      </c>
      <c r="K102" s="881">
        <f t="shared" ref="K102:K104" ca="1" si="56">IF(I102&gt;0,J102*100/I102,0)</f>
        <v>100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IFERROR(__xludf.DUMMYFUNCTION("IMPORTRANGE(""https://docs.google.com/spreadsheets/d/1QqKyyYR6Q21VydFLVH3TRQUabQu_ym0Zz7PgGX0-kHA/edit?usp=sharing"",""แผน!O78"")"),10)</f>
        <v>10</v>
      </c>
      <c r="J103" s="1012">
        <v>10</v>
      </c>
      <c r="K103" s="881">
        <f t="shared" ca="1" si="56"/>
        <v>100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IFERROR(__xludf.DUMMYFUNCTION("IMPORTRANGE(""https://docs.google.com/spreadsheets/d/1QqKyyYR6Q21VydFLVH3TRQUabQu_ym0Zz7PgGX0-kHA/edit?usp=sharing"",""แผน!O78"")"),10)</f>
        <v>10</v>
      </c>
      <c r="J104" s="1012">
        <v>10</v>
      </c>
      <c r="K104" s="881">
        <f t="shared" ca="1" si="56"/>
        <v>100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IFERROR(__xludf.DUMMYFUNCTION("IMPORTRANGE(""https://docs.google.com/spreadsheets/d/1QqKyyYR6Q21VydFLVH3TRQUabQu_ym0Zz7PgGX0-kHA/edit?usp=sharing"",""แผน!P78"")"),0)</f>
        <v>0</v>
      </c>
      <c r="J106" s="1012">
        <v>0</v>
      </c>
      <c r="K106" s="881">
        <f t="shared" ref="K106:K107" ca="1" si="57">IF(I106&gt;0,J106*100/I106,0)</f>
        <v>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IFERROR(__xludf.DUMMYFUNCTION("IMPORTRANGE(""https://docs.google.com/spreadsheets/d/1QqKyyYR6Q21VydFLVH3TRQUabQu_ym0Zz7PgGX0-kHA/edit?usp=sharing"",""แผน!P78"")"),0)</f>
        <v>0</v>
      </c>
      <c r="J107" s="1012">
        <v>0</v>
      </c>
      <c r="K107" s="881">
        <f t="shared" ca="1" si="57"/>
        <v>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IFERROR(__xludf.DUMMYFUNCTION("IMPORTRANGE(""https://docs.google.com/spreadsheets/d/1QqKyyYR6Q21VydFLVH3TRQUabQu_ym0Zz7PgGX0-kHA/edit?usp=sharing"",""แผน!Q78"")"),0)</f>
        <v>0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IFERROR(__xludf.DUMMYFUNCTION("IMPORTRANGE(""https://docs.google.com/spreadsheets/d/1QqKyyYR6Q21VydFLVH3TRQUabQu_ym0Zz7PgGX0-kHA/edit?usp=sharing"",""แผน!Q78"")"),0)</f>
        <v>0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IFERROR(__xludf.DUMMYFUNCTION("IMPORTRANGE(""https://docs.google.com/spreadsheets/d/1QqKyyYR6Q21VydFLVH3TRQUabQu_ym0Zz7PgGX0-kHA/edit?usp=sharing"",""แผน!R78"")"),10)</f>
        <v>10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0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IFERROR(__xludf.DUMMYFUNCTION("IMPORTRANGE(""https://docs.google.com/spreadsheets/d/1QqKyyYR6Q21VydFLVH3TRQUabQu_ym0Zz7PgGX0-kHA/edit?usp=sharing"",""แผน!R78"")"),10)</f>
        <v>10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IFERROR(__xludf.DUMMYFUNCTION("IMPORTRANGE(""https://docs.google.com/spreadsheets/d/1QqKyyYR6Q21VydFLVH3TRQUabQu_ym0Zz7PgGX0-kHA/edit?usp=sharing"",""แผน!R78"")"),10)</f>
        <v>10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IFERROR(__xludf.DUMMYFUNCTION("IMPORTRANGE(""https://docs.google.com/spreadsheets/d/1QqKyyYR6Q21VydFLVH3TRQUabQu_ym0Zz7PgGX0-kHA/edit?usp=sharing"",""แผน!S78"")"),0)</f>
        <v>0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IFERROR(__xludf.DUMMYFUNCTION("IMPORTRANGE(""https://docs.google.com/spreadsheets/d/1QqKyyYR6Q21VydFLVH3TRQUabQu_ym0Zz7PgGX0-kHA/edit?usp=sharing"",""แผน!T78"")"),0)</f>
        <v>0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>
      <c r="A118" s="977"/>
      <c r="B118" s="978" t="s">
        <v>65</v>
      </c>
      <c r="C118" s="1026"/>
      <c r="D118" s="980"/>
      <c r="E118" s="979"/>
      <c r="F118" s="979"/>
      <c r="G118" s="981"/>
      <c r="H118" s="205" t="s">
        <v>66</v>
      </c>
      <c r="I118" s="1027">
        <v>1</v>
      </c>
      <c r="J118" s="1027">
        <f>J440</f>
        <v>1</v>
      </c>
      <c r="K118" s="984">
        <f>IF(I118&gt;0,J118*100/I118,0)</f>
        <v>100</v>
      </c>
      <c r="L118" s="984"/>
      <c r="M118" s="984"/>
      <c r="N118" s="984"/>
      <c r="O118" s="984"/>
      <c r="P118" s="984"/>
    </row>
    <row r="119" spans="1:26" ht="19.5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42000</v>
      </c>
      <c r="M119" s="992">
        <f t="shared" ca="1" si="60"/>
        <v>42000</v>
      </c>
      <c r="N119" s="992">
        <f t="shared" ca="1" si="60"/>
        <v>42000</v>
      </c>
      <c r="O119" s="992">
        <f t="shared" ref="O119:O127" ca="1" si="61">IF(L119&gt;0,N119*100/L119,0)</f>
        <v>100</v>
      </c>
      <c r="P119" s="992">
        <f t="shared" ref="P119:P127" ca="1" si="62">IF(M119&gt;0,N119*100/M119,0)</f>
        <v>100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42000</v>
      </c>
      <c r="M121" s="887">
        <f t="shared" ca="1" si="63"/>
        <v>42000</v>
      </c>
      <c r="N121" s="887">
        <f t="shared" ca="1" si="63"/>
        <v>42000</v>
      </c>
      <c r="O121" s="887">
        <f t="shared" ca="1" si="61"/>
        <v>100</v>
      </c>
      <c r="P121" s="887">
        <f t="shared" ca="1" si="62"/>
        <v>100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IFERROR(__xludf.DUMMYFUNCTION("IMPORTRANGE(""https://docs.google.com/spreadsheets/d/1MeEWN-I1oV_STSDYn1IFDPWt_1FKiwhDph83XaGc0o0/edit?usp=sharing"",""งบพรบ!BA78"")"),0)</f>
        <v>0</v>
      </c>
      <c r="M124" s="887">
        <f ca="1">IFERROR(__xludf.DUMMYFUNCTION("IMPORTRANGE(""https://docs.google.com/spreadsheets/d/1MeEWN-I1oV_STSDYn1IFDPWt_1FKiwhDph83XaGc0o0/edit?usp=sharing"",""งบพรบ!BF78"")"),0)</f>
        <v>0</v>
      </c>
      <c r="N124" s="887">
        <f ca="1">IFERROR(__xludf.DUMMYFUNCTION("IMPORTRANGE(""https://docs.google.com/spreadsheets/d/1MeEWN-I1oV_STSDYn1IFDPWt_1FKiwhDph83XaGc0o0/edit?usp=sharing"",""งบพรบ!BH78"")"),0)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42000</v>
      </c>
      <c r="M125" s="881">
        <f t="shared" ca="1" si="65"/>
        <v>42000</v>
      </c>
      <c r="N125" s="881">
        <f t="shared" ca="1" si="65"/>
        <v>42000</v>
      </c>
      <c r="O125" s="881">
        <f t="shared" ca="1" si="61"/>
        <v>100</v>
      </c>
      <c r="P125" s="881">
        <f t="shared" ca="1" si="62"/>
        <v>100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IFERROR(__xludf.DUMMYFUNCTION("IMPORTRANGE(""https://docs.google.com/spreadsheets/d/1MeEWN-I1oV_STSDYn1IFDPWt_1FKiwhDph83XaGc0o0/edit?usp=sharing"",""งบพรบ!BD78"")"),42000)</f>
        <v>42000</v>
      </c>
      <c r="M127" s="887">
        <f ca="1">IFERROR(__xludf.DUMMYFUNCTION("IMPORTRANGE(""https://docs.google.com/spreadsheets/d/1MeEWN-I1oV_STSDYn1IFDPWt_1FKiwhDph83XaGc0o0/edit?usp=sharing"",""งบพรบ!BG78"")"),42000)</f>
        <v>42000</v>
      </c>
      <c r="N127" s="887">
        <f ca="1">IFERROR(__xludf.DUMMYFUNCTION("IMPORTRANGE(""https://docs.google.com/spreadsheets/d/1MeEWN-I1oV_STSDYn1IFDPWt_1FKiwhDph83XaGc0o0/edit?usp=sharing"",""งบพรบ!BI78"")"),42000)</f>
        <v>42000</v>
      </c>
      <c r="O127" s="887">
        <f t="shared" ca="1" si="61"/>
        <v>100</v>
      </c>
      <c r="P127" s="887">
        <f t="shared" ca="1" si="62"/>
        <v>100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2</v>
      </c>
      <c r="J130" s="982">
        <f t="shared" si="66"/>
        <v>2</v>
      </c>
      <c r="K130" s="983">
        <f t="shared" ref="K130:K131" ca="1" si="67">IF(I130&gt;0,J130*100/I130,0)</f>
        <v>100</v>
      </c>
      <c r="L130" s="984"/>
      <c r="M130" s="984"/>
      <c r="N130" s="984"/>
      <c r="O130" s="984"/>
      <c r="P130" s="984"/>
    </row>
    <row r="131" spans="1:26" ht="19.5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20</v>
      </c>
      <c r="J131" s="982">
        <f t="shared" ca="1" si="68"/>
        <v>20</v>
      </c>
      <c r="K131" s="983">
        <f t="shared" ca="1" si="67"/>
        <v>100</v>
      </c>
      <c r="L131" s="984"/>
      <c r="M131" s="984"/>
      <c r="N131" s="984"/>
      <c r="O131" s="984"/>
      <c r="P131" s="984"/>
    </row>
    <row r="132" spans="1:26" ht="19.5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303310</v>
      </c>
      <c r="M132" s="992">
        <f t="shared" ca="1" si="69"/>
        <v>293700</v>
      </c>
      <c r="N132" s="992">
        <f t="shared" ca="1" si="69"/>
        <v>246670</v>
      </c>
      <c r="O132" s="992">
        <f t="shared" ref="O132:O140" ca="1" si="70">IF(L132&gt;0,N132*100/L132,0)</f>
        <v>81.326036068708575</v>
      </c>
      <c r="P132" s="992">
        <f t="shared" ref="P132:P140" ca="1" si="71">IF(M132&gt;0,N132*100/M132,0)</f>
        <v>83.987061627511068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303310</v>
      </c>
      <c r="M134" s="887">
        <f t="shared" ca="1" si="72"/>
        <v>293700</v>
      </c>
      <c r="N134" s="887">
        <f t="shared" ca="1" si="72"/>
        <v>246670</v>
      </c>
      <c r="O134" s="887">
        <f t="shared" ca="1" si="70"/>
        <v>81.326036068708575</v>
      </c>
      <c r="P134" s="887">
        <f t="shared" ca="1" si="71"/>
        <v>83.987061627511068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97310</v>
      </c>
      <c r="M135" s="881">
        <f t="shared" ca="1" si="73"/>
        <v>87700</v>
      </c>
      <c r="N135" s="881">
        <f t="shared" ca="1" si="73"/>
        <v>40670</v>
      </c>
      <c r="O135" s="881">
        <f t="shared" ca="1" si="70"/>
        <v>41.794265748638374</v>
      </c>
      <c r="P135" s="881">
        <f t="shared" ca="1" si="71"/>
        <v>46.374002280501713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IFERROR(__xludf.DUMMYFUNCTION("IMPORTRANGE(""https://docs.google.com/spreadsheets/d/1MeEWN-I1oV_STSDYn1IFDPWt_1FKiwhDph83XaGc0o0/edit?usp=sharing"",""งบพรบ!BK78"")"),97310)</f>
        <v>97310</v>
      </c>
      <c r="M137" s="887">
        <f ca="1">IFERROR(__xludf.DUMMYFUNCTION("IMPORTRANGE(""https://docs.google.com/spreadsheets/d/1MeEWN-I1oV_STSDYn1IFDPWt_1FKiwhDph83XaGc0o0/edit?usp=sharing"",""งบพรบ!BP78"")"),87700)</f>
        <v>87700</v>
      </c>
      <c r="N137" s="887">
        <f ca="1">IFERROR(__xludf.DUMMYFUNCTION("IMPORTRANGE(""https://docs.google.com/spreadsheets/d/1MeEWN-I1oV_STSDYn1IFDPWt_1FKiwhDph83XaGc0o0/edit?usp=sharing"",""งบพรบ!BR78"")"),40670)</f>
        <v>40670</v>
      </c>
      <c r="O137" s="887">
        <f t="shared" ca="1" si="70"/>
        <v>41.794265748638374</v>
      </c>
      <c r="P137" s="887">
        <f t="shared" ca="1" si="71"/>
        <v>46.374002280501713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206000</v>
      </c>
      <c r="M138" s="881">
        <f t="shared" ca="1" si="74"/>
        <v>206000</v>
      </c>
      <c r="N138" s="881">
        <f t="shared" ca="1" si="74"/>
        <v>206000</v>
      </c>
      <c r="O138" s="881">
        <f t="shared" ca="1" si="70"/>
        <v>100</v>
      </c>
      <c r="P138" s="881">
        <f t="shared" ca="1" si="71"/>
        <v>100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IFERROR(__xludf.DUMMYFUNCTION("IMPORTRANGE(""https://docs.google.com/spreadsheets/d/1MeEWN-I1oV_STSDYn1IFDPWt_1FKiwhDph83XaGc0o0/edit?usp=sharing"",""งบพรบ!BN78"")"),206000)</f>
        <v>206000</v>
      </c>
      <c r="M140" s="887">
        <f ca="1">IFERROR(__xludf.DUMMYFUNCTION("IMPORTRANGE(""https://docs.google.com/spreadsheets/d/1MeEWN-I1oV_STSDYn1IFDPWt_1FKiwhDph83XaGc0o0/edit?usp=sharing"",""งบพรบ!BQ78"")"),206000)</f>
        <v>206000</v>
      </c>
      <c r="N140" s="887">
        <f ca="1">IFERROR(__xludf.DUMMYFUNCTION("IMPORTRANGE(""https://docs.google.com/spreadsheets/d/1MeEWN-I1oV_STSDYn1IFDPWt_1FKiwhDph83XaGc0o0/edit?usp=sharing"",""งบพรบ!BS78"")"),206000)</f>
        <v>206000</v>
      </c>
      <c r="O140" s="887">
        <f t="shared" ca="1" si="70"/>
        <v>100</v>
      </c>
      <c r="P140" s="887">
        <f t="shared" ca="1" si="71"/>
        <v>100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20</v>
      </c>
      <c r="J143" s="880">
        <f ca="1">IF(AND(J144&gt;=I144,J145&gt;=I145),J145,0)</f>
        <v>20</v>
      </c>
      <c r="K143" s="881">
        <f t="shared" ref="K143:K146" ca="1" si="75">IF(I143&gt;0,J143*100/I143,0)</f>
        <v>100</v>
      </c>
      <c r="L143" s="881"/>
      <c r="M143" s="881"/>
      <c r="N143" s="881"/>
      <c r="O143" s="881"/>
      <c r="P143" s="881"/>
    </row>
    <row r="144" spans="1:26" ht="19.5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IFERROR(__xludf.DUMMYFUNCTION("IMPORTRANGE(""https://docs.google.com/spreadsheets/d/1QqKyyYR6Q21VydFLVH3TRQUabQu_ym0Zz7PgGX0-kHA/edit?usp=sharing"",""แผน!U78"")"),10)</f>
        <v>10</v>
      </c>
      <c r="J144" s="1012">
        <v>20</v>
      </c>
      <c r="K144" s="881">
        <f t="shared" ca="1" si="75"/>
        <v>200</v>
      </c>
      <c r="L144" s="881"/>
      <c r="M144" s="881"/>
      <c r="N144" s="881"/>
      <c r="O144" s="881"/>
      <c r="P144" s="881"/>
    </row>
    <row r="145" spans="1:26" ht="19.5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IFERROR(__xludf.DUMMYFUNCTION("IMPORTRANGE(""https://docs.google.com/spreadsheets/d/1QqKyyYR6Q21VydFLVH3TRQUabQu_ym0Zz7PgGX0-kHA/edit?usp=sharing"",""แผน!V78"")"),20)</f>
        <v>20</v>
      </c>
      <c r="J145" s="1012">
        <v>20</v>
      </c>
      <c r="K145" s="881">
        <f t="shared" ca="1" si="75"/>
        <v>100</v>
      </c>
      <c r="L145" s="881"/>
      <c r="M145" s="881"/>
      <c r="N145" s="881"/>
      <c r="O145" s="881"/>
      <c r="P145" s="881"/>
    </row>
    <row r="146" spans="1:26" ht="19.5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IFERROR(__xludf.DUMMYFUNCTION("IMPORTRANGE(""https://docs.google.com/spreadsheets/d/1QqKyyYR6Q21VydFLVH3TRQUabQu_ym0Zz7PgGX0-kHA/edit?usp=sharing"",""แผน!W78"")"),2)</f>
        <v>2</v>
      </c>
      <c r="J146" s="1012">
        <v>2</v>
      </c>
      <c r="K146" s="881">
        <f t="shared" ca="1" si="75"/>
        <v>100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IFERROR(__xludf.DUMMYFUNCTION("IMPORTRANGE(""https://docs.google.com/spreadsheets/d/1MeEWN-I1oV_STSDYn1IFDPWt_1FKiwhDph83XaGc0o0/edit?usp=sharing"",""งบพรบ!BU78"")"),0)</f>
        <v>0</v>
      </c>
      <c r="M154" s="887">
        <f ca="1">IFERROR(__xludf.DUMMYFUNCTION("IMPORTRANGE(""https://docs.google.com/spreadsheets/d/1MeEWN-I1oV_STSDYn1IFDPWt_1FKiwhDph83XaGc0o0/edit?usp=sharing"",""งบพรบ!BZ78"")"),0)</f>
        <v>0</v>
      </c>
      <c r="N154" s="887">
        <f ca="1">IFERROR(__xludf.DUMMYFUNCTION("IMPORTRANGE(""https://docs.google.com/spreadsheets/d/1MeEWN-I1oV_STSDYn1IFDPWt_1FKiwhDph83XaGc0o0/edit?usp=sharing"",""งบพรบ!CB78"")"),0)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IFERROR(__xludf.DUMMYFUNCTION("IMPORTRANGE(""https://docs.google.com/spreadsheets/d/1MeEWN-I1oV_STSDYn1IFDPWt_1FKiwhDph83XaGc0o0/edit?usp=sharing"",""งบพรบ!BX78"")"),0)</f>
        <v>0</v>
      </c>
      <c r="M157" s="887">
        <f ca="1">IFERROR(__xludf.DUMMYFUNCTION("IMPORTRANGE(""https://docs.google.com/spreadsheets/d/1MeEWN-I1oV_STSDYn1IFDPWt_1FKiwhDph83XaGc0o0/edit?usp=sharing"",""งบพรบ!CA78"")"),0)</f>
        <v>0</v>
      </c>
      <c r="N157" s="887">
        <f ca="1">IFERROR(__xludf.DUMMYFUNCTION("IMPORTRANGE(""https://docs.google.com/spreadsheets/d/1MeEWN-I1oV_STSDYn1IFDPWt_1FKiwhDph83XaGc0o0/edit?usp=sharing"",""งบพรบ!CC78"")"),0)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IFERROR(__xludf.DUMMYFUNCTION("IMPORTRANGE(""https://docs.google.com/spreadsheets/d/1QqKyyYR6Q21VydFLVH3TRQUabQu_ym0Zz7PgGX0-kHA/edit?usp=sharing"",""แผน!X78"")"),0)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13</v>
      </c>
      <c r="J164" s="1075">
        <f t="shared" si="83"/>
        <v>13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24065</v>
      </c>
      <c r="M165" s="992">
        <f t="shared" ca="1" si="84"/>
        <v>40995</v>
      </c>
      <c r="N165" s="992">
        <f t="shared" ca="1" si="84"/>
        <v>40995</v>
      </c>
      <c r="O165" s="992">
        <f t="shared" ref="O165:O173" ca="1" si="85">IF(L165&gt;0,N165*100/L165,0)</f>
        <v>170.35113234988572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24065</v>
      </c>
      <c r="M167" s="887">
        <f t="shared" ca="1" si="87"/>
        <v>40995</v>
      </c>
      <c r="N167" s="887">
        <f t="shared" ca="1" si="87"/>
        <v>40995</v>
      </c>
      <c r="O167" s="887">
        <f t="shared" ca="1" si="85"/>
        <v>170.35113234988572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24065</v>
      </c>
      <c r="M168" s="881">
        <f t="shared" ca="1" si="88"/>
        <v>40995</v>
      </c>
      <c r="N168" s="881">
        <f t="shared" ca="1" si="88"/>
        <v>40995</v>
      </c>
      <c r="O168" s="881">
        <f t="shared" ca="1" si="85"/>
        <v>170.35113234988572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IFERROR(__xludf.DUMMYFUNCTION("IMPORTRANGE(""https://docs.google.com/spreadsheets/d/1MeEWN-I1oV_STSDYn1IFDPWt_1FKiwhDph83XaGc0o0/edit?usp=sharing"",""งบพรบ!CE78"")"),24065)</f>
        <v>24065</v>
      </c>
      <c r="M170" s="887">
        <f ca="1">IFERROR(__xludf.DUMMYFUNCTION("IMPORTRANGE(""https://docs.google.com/spreadsheets/d/1MeEWN-I1oV_STSDYn1IFDPWt_1FKiwhDph83XaGc0o0/edit?usp=sharing"",""งบพรบ!CJ78"")"),40995)</f>
        <v>40995</v>
      </c>
      <c r="N170" s="887">
        <f ca="1">IFERROR(__xludf.DUMMYFUNCTION("IMPORTRANGE(""https://docs.google.com/spreadsheets/d/1MeEWN-I1oV_STSDYn1IFDPWt_1FKiwhDph83XaGc0o0/edit?usp=sharing"",""งบพรบ!CL78"")"),40995)</f>
        <v>40995</v>
      </c>
      <c r="O170" s="887">
        <f t="shared" ca="1" si="85"/>
        <v>170.35113234988572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IFERROR(__xludf.DUMMYFUNCTION("IMPORTRANGE(""https://docs.google.com/spreadsheets/d/1MeEWN-I1oV_STSDYn1IFDPWt_1FKiwhDph83XaGc0o0/edit?usp=sharing"",""งบพรบ!CH78"")"),0)</f>
        <v>0</v>
      </c>
      <c r="M173" s="887">
        <f ca="1">IFERROR(__xludf.DUMMYFUNCTION("IMPORTRANGE(""https://docs.google.com/spreadsheets/d/1MeEWN-I1oV_STSDYn1IFDPWt_1FKiwhDph83XaGc0o0/edit?usp=sharing"",""งบพรบ!CK78"")"),0)</f>
        <v>0</v>
      </c>
      <c r="N173" s="887">
        <f ca="1">IFERROR(__xludf.DUMMYFUNCTION("IMPORTRANGE(""https://docs.google.com/spreadsheets/d/1MeEWN-I1oV_STSDYn1IFDPWt_1FKiwhDph83XaGc0o0/edit?usp=sharing"",""งบพรบ!CM78"")"),0)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13</v>
      </c>
      <c r="J174" s="1067">
        <f t="shared" si="90"/>
        <v>13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IFERROR(__xludf.DUMMYFUNCTION("IMPORTRANGE(""https://docs.google.com/spreadsheets/d/1QqKyyYR6Q21VydFLVH3TRQUabQu_ym0Zz7PgGX0-kHA/edit?usp=sharing"",""แผน!Y78"")"),13)</f>
        <v>13</v>
      </c>
      <c r="J176" s="1012">
        <v>13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110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673400</v>
      </c>
      <c r="M181" s="992">
        <f t="shared" ca="1" si="92"/>
        <v>535500</v>
      </c>
      <c r="N181" s="992">
        <f t="shared" ca="1" si="92"/>
        <v>348061.02</v>
      </c>
      <c r="O181" s="992">
        <f t="shared" ref="O181:O189" ca="1" si="93">IF(L181&gt;0,N181*100/L181,0)</f>
        <v>51.68711315711316</v>
      </c>
      <c r="P181" s="992">
        <f t="shared" ref="P181:P189" ca="1" si="94">IF(M181&gt;0,N181*100/M181,0)</f>
        <v>64.9973893557423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673400</v>
      </c>
      <c r="M183" s="887">
        <f t="shared" ca="1" si="95"/>
        <v>535500</v>
      </c>
      <c r="N183" s="887">
        <f t="shared" ca="1" si="95"/>
        <v>348061.02</v>
      </c>
      <c r="O183" s="887">
        <f t="shared" ca="1" si="93"/>
        <v>51.68711315711316</v>
      </c>
      <c r="P183" s="887">
        <f t="shared" ca="1" si="94"/>
        <v>64.9973893557423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673400</v>
      </c>
      <c r="M184" s="881">
        <f t="shared" ca="1" si="96"/>
        <v>535500</v>
      </c>
      <c r="N184" s="881">
        <f t="shared" ca="1" si="96"/>
        <v>348061.02</v>
      </c>
      <c r="O184" s="881">
        <f t="shared" ca="1" si="93"/>
        <v>51.68711315711316</v>
      </c>
      <c r="P184" s="881">
        <f t="shared" ca="1" si="94"/>
        <v>64.9973893557423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IFERROR(__xludf.DUMMYFUNCTION("IMPORTRANGE(""https://docs.google.com/spreadsheets/d/1MeEWN-I1oV_STSDYn1IFDPWt_1FKiwhDph83XaGc0o0/edit?usp=sharing"",""งบพรบ!CO78"")"),673400)</f>
        <v>673400</v>
      </c>
      <c r="M186" s="887">
        <f ca="1">IFERROR(__xludf.DUMMYFUNCTION("IMPORTRANGE(""https://docs.google.com/spreadsheets/d/1MeEWN-I1oV_STSDYn1IFDPWt_1FKiwhDph83XaGc0o0/edit?usp=sharing"",""งบพรบ!CT78"")"),535500)</f>
        <v>535500</v>
      </c>
      <c r="N186" s="887">
        <f ca="1">IFERROR(__xludf.DUMMYFUNCTION("IMPORTRANGE(""https://docs.google.com/spreadsheets/d/1MeEWN-I1oV_STSDYn1IFDPWt_1FKiwhDph83XaGc0o0/edit?usp=sharing"",""งบพรบ!CV78"")"),348061.02)</f>
        <v>348061.02</v>
      </c>
      <c r="O186" s="887">
        <f t="shared" ca="1" si="93"/>
        <v>51.68711315711316</v>
      </c>
      <c r="P186" s="887">
        <f t="shared" ca="1" si="94"/>
        <v>64.9973893557423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IFERROR(__xludf.DUMMYFUNCTION("IMPORTRANGE(""https://docs.google.com/spreadsheets/d/1MeEWN-I1oV_STSDYn1IFDPWt_1FKiwhDph83XaGc0o0/edit?usp=sharing"",""งบพรบ!CR78"")"),0)</f>
        <v>0</v>
      </c>
      <c r="M189" s="887">
        <f ca="1">IFERROR(__xludf.DUMMYFUNCTION("IMPORTRANGE(""https://docs.google.com/spreadsheets/d/1MeEWN-I1oV_STSDYn1IFDPWt_1FKiwhDph83XaGc0o0/edit?usp=sharing"",""งบพรบ!CU78"")"),0)</f>
        <v>0</v>
      </c>
      <c r="N189" s="887">
        <f ca="1">IFERROR(__xludf.DUMMYFUNCTION("IMPORTRANGE(""https://docs.google.com/spreadsheets/d/1MeEWN-I1oV_STSDYn1IFDPWt_1FKiwhDph83XaGc0o0/edit?usp=sharing"",""งบพรบ!CW78"")"),0)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IFERROR(__xludf.DUMMYFUNCTION("IMPORTRANGE(""https://docs.google.com/spreadsheets/d/1QqKyyYR6Q21VydFLVH3TRQUabQu_ym0Zz7PgGX0-kHA/edit?usp=sharing"",""แผน!Z78"")"),6000)</f>
        <v>6000</v>
      </c>
      <c r="M191" s="992"/>
      <c r="N191" s="1081">
        <v>860</v>
      </c>
      <c r="O191" s="992">
        <f ca="1">IF(L191&gt;0,N191*100/L191,0)</f>
        <v>14.333333333333334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IFERROR(__xludf.DUMMYFUNCTION("IMPORTRANGE(""https://docs.google.com/spreadsheets/d/1QqKyyYR6Q21VydFLVH3TRQUabQu_ym0Zz7PgGX0-kHA/edit?usp=sharing"",""แผน!AC78"")"),4)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109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f>54+55</f>
        <v>109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3</v>
      </c>
      <c r="J197" s="1078">
        <f t="shared" si="99"/>
        <v>3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44000</v>
      </c>
      <c r="M198" s="992"/>
      <c r="N198" s="992">
        <f>N199+N200+N201+N202</f>
        <v>31594</v>
      </c>
      <c r="O198" s="992">
        <f ca="1">IF(L198&gt;0,N198*100/L198,0)</f>
        <v>71.804545454545448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IFERROR(__xludf.DUMMYFUNCTION("IMPORTRANGE(""https://docs.google.com/spreadsheets/d/1QqKyyYR6Q21VydFLVH3TRQUabQu_ym0Zz7PgGX0-kHA/edit?usp=sharing"",""แผน!AE78"")"),3000)</f>
        <v>3000</v>
      </c>
      <c r="M199" s="881"/>
      <c r="N199" s="1085">
        <v>1100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IFERROR(__xludf.DUMMYFUNCTION("IMPORTRANGE(""https://docs.google.com/spreadsheets/d/1QqKyyYR6Q21VydFLVH3TRQUabQu_ym0Zz7PgGX0-kHA/edit?usp=sharing"",""แผน!AF78"")"),24000)</f>
        <v>24000</v>
      </c>
      <c r="M200" s="881"/>
      <c r="N200" s="1085">
        <f>20560+9934</f>
        <v>30494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IFERROR(__xludf.DUMMYFUNCTION("IMPORTRANGE(""https://docs.google.com/spreadsheets/d/1QqKyyYR6Q21VydFLVH3TRQUabQu_ym0Zz7PgGX0-kHA/edit?usp=sharing"",""แผน!AG78"")"),12000)</f>
        <v>12000</v>
      </c>
      <c r="M201" s="881"/>
      <c r="N201" s="1085"/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IFERROR(__xludf.DUMMYFUNCTION("IMPORTRANGE(""https://docs.google.com/spreadsheets/d/1QqKyyYR6Q21VydFLVH3TRQUabQu_ym0Zz7PgGX0-kHA/edit?usp=sharing"",""แผน!AH78"")"),5000)</f>
        <v>5000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IFERROR(__xludf.DUMMYFUNCTION("IMPORTRANGE(""https://docs.google.com/spreadsheets/d/1QqKyyYR6Q21VydFLVH3TRQUabQu_ym0Zz7PgGX0-kHA/edit?usp=sharing"",""แผน!AI78"")"),3)</f>
        <v>3</v>
      </c>
      <c r="J204" s="1012">
        <v>3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3</v>
      </c>
      <c r="J206" s="1012">
        <v>3</v>
      </c>
      <c r="K206" s="998">
        <f t="shared" ref="K206:K208" si="100">IF(I206&gt;0,J206*100/I206,0)</f>
        <v>100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1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2</v>
      </c>
      <c r="J208" s="1078">
        <f t="shared" si="101"/>
        <v>2</v>
      </c>
      <c r="K208" s="1079">
        <f t="shared" ca="1" si="100"/>
        <v>100</v>
      </c>
      <c r="L208" s="1068"/>
      <c r="M208" s="1068"/>
      <c r="N208" s="1068"/>
      <c r="O208" s="1068"/>
      <c r="P208" s="1068"/>
    </row>
    <row r="209" spans="1:26" ht="19.5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28000</v>
      </c>
      <c r="M209" s="992"/>
      <c r="N209" s="992">
        <f>N210+N211+N212</f>
        <v>16305</v>
      </c>
      <c r="O209" s="992">
        <f ca="1">IF(L209&gt;0,N209*100/L209,0)</f>
        <v>58.232142857142854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IFERROR(__xludf.DUMMYFUNCTION("IMPORTRANGE(""https://docs.google.com/spreadsheets/d/1QqKyyYR6Q21VydFLVH3TRQUabQu_ym0Zz7PgGX0-kHA/edit?usp=sharing"",""แผน!AK78"")"),2000)</f>
        <v>2000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IFERROR(__xludf.DUMMYFUNCTION("IMPORTRANGE(""https://docs.google.com/spreadsheets/d/1QqKyyYR6Q21VydFLVH3TRQUabQu_ym0Zz7PgGX0-kHA/edit?usp=sharing"",""แผน!AL78"")"),10000)</f>
        <v>10000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IFERROR(__xludf.DUMMYFUNCTION("IMPORTRANGE(""https://docs.google.com/spreadsheets/d/1QqKyyYR6Q21VydFLVH3TRQUabQu_ym0Zz7PgGX0-kHA/edit?usp=sharing"",""แผน!AM78"")"),16000)</f>
        <v>16000</v>
      </c>
      <c r="M212" s="881"/>
      <c r="N212" s="1085">
        <v>16305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IFERROR(__xludf.DUMMYFUNCTION("IMPORTRANGE(""https://docs.google.com/spreadsheets/d/1QqKyyYR6Q21VydFLVH3TRQUabQu_ym0Zz7PgGX0-kHA/edit?usp=sharing"",""แผน!AN78"")"),2)</f>
        <v>2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IFERROR(__xludf.DUMMYFUNCTION("IMPORTRANGE(""https://docs.google.com/spreadsheets/d/1QqKyyYR6Q21VydFLVH3TRQUabQu_ym0Zz7PgGX0-kHA/edit?usp=sharing"",""แผน!AN78"")"),2)</f>
        <v>2</v>
      </c>
      <c r="J215" s="1012">
        <v>2</v>
      </c>
      <c r="K215" s="881">
        <f t="shared" ca="1" si="102"/>
        <v>100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50000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18500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IFERROR(__xludf.DUMMYFUNCTION("IMPORTRANGE(""https://docs.google.com/spreadsheets/d/1QqKyyYR6Q21VydFLVH3TRQUabQu_ym0Zz7PgGX0-kHA/edit?usp=sharing"",""แผน!AP78"")"),5000)</f>
        <v>5000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IFERROR(__xludf.DUMMYFUNCTION("IMPORTRANGE(""https://docs.google.com/spreadsheets/d/1QqKyyYR6Q21VydFLVH3TRQUabQu_ym0Zz7PgGX0-kHA/edit?usp=sharing"",""แผน!AQ78"")"),13500)</f>
        <v>13500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IFERROR(__xludf.DUMMYFUNCTION("IMPORTRANGE(""https://docs.google.com/spreadsheets/d/1QqKyyYR6Q21VydFLVH3TRQUabQu_ym0Zz7PgGX0-kHA/edit?usp=sharing"",""แผน!AR78"")"),0)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IFERROR(__xludf.DUMMYFUNCTION("IMPORTRANGE(""https://docs.google.com/spreadsheets/d/1QqKyyYR6Q21VydFLVH3TRQUabQu_ym0Zz7PgGX0-kHA/edit?usp=sharing"",""แผน!AT78"")"),50000)</f>
        <v>50000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IFERROR(__xludf.DUMMYFUNCTION("IMPORTRANGE(""https://docs.google.com/spreadsheets/d/1QqKyyYR6Q21VydFLVH3TRQUabQu_ym0Zz7PgGX0-kHA/edit?usp=sharing"",""แผน!AT78"")"),50000)</f>
        <v>50000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IFERROR(__xludf.DUMMYFUNCTION("IMPORTRANGE(""https://docs.google.com/spreadsheets/d/1QqKyyYR6Q21VydFLVH3TRQUabQu_ym0Zz7PgGX0-kHA/edit?usp=sharing"",""แผน!AS78"")"),0)</f>
        <v>0</v>
      </c>
      <c r="J225" s="1012">
        <v>0</v>
      </c>
      <c r="K225" s="998">
        <f t="shared" ca="1" si="104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110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293300</v>
      </c>
      <c r="M227" s="1103"/>
      <c r="N227" s="1103">
        <f t="shared" ref="N227:N231" si="107">N238+N249</f>
        <v>159552.33000000002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165000</v>
      </c>
      <c r="M228" s="887"/>
      <c r="N228" s="887">
        <f t="shared" si="107"/>
        <v>74013.33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88300</v>
      </c>
      <c r="M229" s="887"/>
      <c r="N229" s="887">
        <f t="shared" si="107"/>
        <v>85539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40000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110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4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>
      <c r="A237" s="1063"/>
      <c r="B237" s="1070"/>
      <c r="C237" s="1077" t="s">
        <v>340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100</v>
      </c>
      <c r="J237" s="1078">
        <f t="shared" si="111"/>
        <v>110</v>
      </c>
      <c r="K237" s="1079">
        <f t="shared" ca="1" si="110"/>
        <v>110</v>
      </c>
      <c r="L237" s="1068"/>
      <c r="M237" s="1068"/>
      <c r="N237" s="1068"/>
      <c r="O237" s="1068"/>
      <c r="P237" s="1068"/>
    </row>
    <row r="238" spans="1:26" ht="19.5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293300</v>
      </c>
      <c r="M238" s="992"/>
      <c r="N238" s="992">
        <f>N239+N240+N241+N242</f>
        <v>159552.33000000002</v>
      </c>
      <c r="O238" s="992">
        <f ca="1">IF(L238&gt;0,N238*100/L238,0)</f>
        <v>54.39902147971361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IFERROR(__xludf.DUMMYFUNCTION("IMPORTRANGE(""https://docs.google.com/spreadsheets/d/1QqKyyYR6Q21VydFLVH3TRQUabQu_ym0Zz7PgGX0-kHA/edit?usp=sharing"",""แผน!AV78"")"),165000)</f>
        <v>165000</v>
      </c>
      <c r="M239" s="1124"/>
      <c r="N239" s="1125">
        <f>59773.33+2500+11000+740</f>
        <v>74013.33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IFERROR(__xludf.DUMMYFUNCTION("IMPORTRANGE(""https://docs.google.com/spreadsheets/d/1QqKyyYR6Q21VydFLVH3TRQUabQu_ym0Zz7PgGX0-kHA/edit?usp=sharing"",""แผน!AW78"")"),88300)</f>
        <v>88300</v>
      </c>
      <c r="M240" s="1124"/>
      <c r="N240" s="1125">
        <v>85539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IFERROR(__xludf.DUMMYFUNCTION("IMPORTRANGE(""https://docs.google.com/spreadsheets/d/1QqKyyYR6Q21VydFLVH3TRQUabQu_ym0Zz7PgGX0-kHA/edit?usp=sharing"",""แผน!AX78"")"),0)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IFERROR(__xludf.DUMMYFUNCTION("IMPORTRANGE(""https://docs.google.com/spreadsheets/d/1QqKyyYR6Q21VydFLVH3TRQUabQu_ym0Zz7PgGX0-kHA/edit?usp=sharing"",""แผน!AY78"")"),40000)</f>
        <v>40000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IFERROR(__xludf.DUMMYFUNCTION("IMPORTRANGE(""https://docs.google.com/spreadsheets/d/1QqKyyYR6Q21VydFLVH3TRQUabQu_ym0Zz7PgGX0-kHA/edit?usp=sharing"",""แผน!BE78"")"),100)</f>
        <v>100</v>
      </c>
      <c r="J244" s="1012">
        <v>110</v>
      </c>
      <c r="K244" s="881">
        <f ca="1">IF(I244&gt;0,J244*100/I244,0)</f>
        <v>110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>
        <v>0</v>
      </c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>
        <v>4</v>
      </c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IFERROR(__xludf.DUMMYFUNCTION("IMPORTRANGE(""https://docs.google.com/spreadsheets/d/1QqKyyYR6Q21VydFLVH3TRQUabQu_ym0Zz7PgGX0-kHA/edit?usp=sharing"",""แผน!AZ78"")"),0)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IFERROR(__xludf.DUMMYFUNCTION("IMPORTRANGE(""https://docs.google.com/spreadsheets/d/1QqKyyYR6Q21VydFLVH3TRQUabQu_ym0Zz7PgGX0-kHA/edit?usp=sharing"",""แผน!BA78"")"),0)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IFERROR(__xludf.DUMMYFUNCTION("IMPORTRANGE(""https://docs.google.com/spreadsheets/d/1QqKyyYR6Q21VydFLVH3TRQUabQu_ym0Zz7PgGX0-kHA/edit?usp=sharing"",""แผน!BB78"")"),0)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IFERROR(__xludf.DUMMYFUNCTION("IMPORTRANGE(""https://docs.google.com/spreadsheets/d/1QqKyyYR6Q21VydFLVH3TRQUabQu_ym0Zz7PgGX0-kHA/edit?usp=sharing"",""แผน!BC78"")"),0)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IFERROR(__xludf.DUMMYFUNCTION("IMPORTRANGE(""https://docs.google.com/spreadsheets/d/1QqKyyYR6Q21VydFLVH3TRQUabQu_ym0Zz7PgGX0-kHA/edit?usp=sharing"",""แผน!BF78"")"),"")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26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173700</v>
      </c>
      <c r="M261" s="992">
        <f t="shared" ca="1" si="116"/>
        <v>104000</v>
      </c>
      <c r="N261" s="992">
        <f t="shared" ca="1" si="116"/>
        <v>52723.64</v>
      </c>
      <c r="O261" s="992">
        <f t="shared" ref="O261:O269" ca="1" si="117">IF(L261&gt;0,N261*100/L261,0)</f>
        <v>30.353275762809442</v>
      </c>
      <c r="P261" s="992">
        <f t="shared" ref="P261:P269" ca="1" si="118">IF(M261&gt;0,N261*100/M261,0)</f>
        <v>50.695807692307689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173700</v>
      </c>
      <c r="M263" s="887">
        <f t="shared" ca="1" si="119"/>
        <v>104000</v>
      </c>
      <c r="N263" s="887">
        <f t="shared" ca="1" si="119"/>
        <v>52723.64</v>
      </c>
      <c r="O263" s="887">
        <f t="shared" ca="1" si="117"/>
        <v>30.353275762809442</v>
      </c>
      <c r="P263" s="887">
        <f t="shared" ca="1" si="118"/>
        <v>50.695807692307689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173700</v>
      </c>
      <c r="M264" s="881">
        <f t="shared" ca="1" si="120"/>
        <v>104000</v>
      </c>
      <c r="N264" s="881">
        <f t="shared" ca="1" si="120"/>
        <v>52723.64</v>
      </c>
      <c r="O264" s="881">
        <f t="shared" ca="1" si="117"/>
        <v>30.353275762809442</v>
      </c>
      <c r="P264" s="881">
        <f t="shared" ca="1" si="118"/>
        <v>50.695807692307689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IFERROR(__xludf.DUMMYFUNCTION("IMPORTRANGE(""https://docs.google.com/spreadsheets/d/1MeEWN-I1oV_STSDYn1IFDPWt_1FKiwhDph83XaGc0o0/edit?usp=sharing"",""งบพรบ!CY78"")"),173700)</f>
        <v>173700</v>
      </c>
      <c r="M266" s="887">
        <f ca="1">IFERROR(__xludf.DUMMYFUNCTION("IMPORTRANGE(""https://docs.google.com/spreadsheets/d/1MeEWN-I1oV_STSDYn1IFDPWt_1FKiwhDph83XaGc0o0/edit?usp=sharing"",""งบพรบ!DD78"")"),104000)</f>
        <v>104000</v>
      </c>
      <c r="N266" s="887">
        <f ca="1">IFERROR(__xludf.DUMMYFUNCTION("IMPORTRANGE(""https://docs.google.com/spreadsheets/d/1MeEWN-I1oV_STSDYn1IFDPWt_1FKiwhDph83XaGc0o0/edit?usp=sharing"",""งบพรบ!DF78"")"),52723.64)</f>
        <v>52723.64</v>
      </c>
      <c r="O266" s="887">
        <f t="shared" ca="1" si="117"/>
        <v>30.353275762809442</v>
      </c>
      <c r="P266" s="887">
        <f t="shared" ca="1" si="118"/>
        <v>50.695807692307689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IFERROR(__xludf.DUMMYFUNCTION("IMPORTRANGE(""https://docs.google.com/spreadsheets/d/1MeEWN-I1oV_STSDYn1IFDPWt_1FKiwhDph83XaGc0o0/edit?usp=sharing"",""งบพรบ!DB78"")"),0)</f>
        <v>0</v>
      </c>
      <c r="M269" s="887">
        <f ca="1">IFERROR(__xludf.DUMMYFUNCTION("IMPORTRANGE(""https://docs.google.com/spreadsheets/d/1MeEWN-I1oV_STSDYn1IFDPWt_1FKiwhDph83XaGc0o0/edit?usp=sharing"",""งบพรบ!DE78"")"),0)</f>
        <v>0</v>
      </c>
      <c r="N269" s="887">
        <f ca="1">IFERROR(__xludf.DUMMYFUNCTION("IMPORTRANGE(""https://docs.google.com/spreadsheets/d/1MeEWN-I1oV_STSDYn1IFDPWt_1FKiwhDph83XaGc0o0/edit?usp=sharing"",""งบพรบ!DG78"")"),0)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IFERROR(__xludf.DUMMYFUNCTION("IMPORTRANGE(""https://docs.google.com/spreadsheets/d/1QqKyyYR6Q21VydFLVH3TRQUabQu_ym0Zz7PgGX0-kHA/edit?usp=sharing"",""แผน!EA78"")"),26)</f>
        <v>26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IFERROR(__xludf.DUMMYFUNCTION("IMPORTRANGE(""https://docs.google.com/spreadsheets/d/1MeEWN-I1oV_STSDYn1IFDPWt_1FKiwhDph83XaGc0o0/edit?usp=sharing"",""งบพรบ!DI78"")"),0)</f>
        <v>0</v>
      </c>
      <c r="M282" s="887">
        <f ca="1">IFERROR(__xludf.DUMMYFUNCTION("IMPORTRANGE(""https://docs.google.com/spreadsheets/d/1MeEWN-I1oV_STSDYn1IFDPWt_1FKiwhDph83XaGc0o0/edit?usp=sharing"",""งบพรบ!DN78"")"),0)</f>
        <v>0</v>
      </c>
      <c r="N282" s="887">
        <f ca="1">IFERROR(__xludf.DUMMYFUNCTION("IMPORTRANGE(""https://docs.google.com/spreadsheets/d/1MeEWN-I1oV_STSDYn1IFDPWt_1FKiwhDph83XaGc0o0/edit?usp=sharing"",""งบพรบ!DP78"")"),0)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IFERROR(__xludf.DUMMYFUNCTION("IMPORTRANGE(""https://docs.google.com/spreadsheets/d/1MeEWN-I1oV_STSDYn1IFDPWt_1FKiwhDph83XaGc0o0/edit?usp=sharing"",""งบพรบ!DL78"")"),0)</f>
        <v>0</v>
      </c>
      <c r="M285" s="887">
        <f ca="1">IFERROR(__xludf.DUMMYFUNCTION("IMPORTRANGE(""https://docs.google.com/spreadsheets/d/1MeEWN-I1oV_STSDYn1IFDPWt_1FKiwhDph83XaGc0o0/edit?usp=sharing"",""งบพรบ!DO78"")"),0)</f>
        <v>0</v>
      </c>
      <c r="N285" s="887">
        <f ca="1">IFERROR(__xludf.DUMMYFUNCTION("IMPORTRANGE(""https://docs.google.com/spreadsheets/d/1MeEWN-I1oV_STSDYn1IFDPWt_1FKiwhDph83XaGc0o0/edit?usp=sharing"",""งบพรบ!DQ78"")"),0)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IFERROR(__xludf.DUMMYFUNCTION("IMPORTRANGE(""https://docs.google.com/spreadsheets/d/1QqKyyYR6Q21VydFLVH3TRQUabQu_ym0Zz7PgGX0-kHA/edit?usp=sharing"",""แผน!EC78"")"),0)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IFERROR(__xludf.DUMMYFUNCTION("IMPORTRANGE(""https://docs.google.com/spreadsheets/d/1QqKyyYR6Q21VydFLVH3TRQUabQu_ym0Zz7PgGX0-kHA/edit?usp=sharing"",""แผน!EB78"")"),0)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IFERROR(__xludf.DUMMYFUNCTION("IMPORTRANGE(""https://docs.google.com/spreadsheets/d/1QqKyyYR6Q21VydFLVH3TRQUabQu_ym0Zz7PgGX0-kHA/edit?usp=sharing"",""แผน!EB78"")"),0)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IFERROR(__xludf.DUMMYFUNCTION("IMPORTRANGE(""https://docs.google.com/spreadsheets/d/1QqKyyYR6Q21VydFLVH3TRQUabQu_ym0Zz7PgGX0-kHA/edit?usp=sharing"",""แผน!EB78"")"),0)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IFERROR(__xludf.DUMMYFUNCTION("IMPORTRANGE(""https://docs.google.com/spreadsheets/d/1QqKyyYR6Q21VydFLVH3TRQUabQu_ym0Zz7PgGX0-kHA/edit?usp=sharing"",""แผน!EB78"")"),0)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IFERROR(__xludf.DUMMYFUNCTION("IMPORTRANGE(""https://docs.google.com/spreadsheets/d/1QqKyyYR6Q21VydFLVH3TRQUabQu_ym0Zz7PgGX0-kHA/edit?usp=sharing"",""แผน!EB78"")"),0)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20</v>
      </c>
      <c r="J297" s="1190">
        <f t="shared" si="134"/>
        <v>20</v>
      </c>
      <c r="K297" s="1191">
        <f ca="1">IF(I297&gt;0,J297*100/I297,0)</f>
        <v>100</v>
      </c>
      <c r="L297" s="1192"/>
      <c r="M297" s="1192"/>
      <c r="N297" s="1192"/>
      <c r="O297" s="1192"/>
      <c r="P297" s="1192"/>
    </row>
    <row r="298" spans="1:26" ht="19.5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82400</v>
      </c>
      <c r="M298" s="992">
        <f t="shared" ca="1" si="135"/>
        <v>64400</v>
      </c>
      <c r="N298" s="992">
        <f t="shared" ca="1" si="135"/>
        <v>41125</v>
      </c>
      <c r="O298" s="992">
        <f t="shared" ref="O298:O306" ca="1" si="136">IF(L298&gt;0,N298*100/L298,0)</f>
        <v>49.908980582524272</v>
      </c>
      <c r="P298" s="992">
        <f t="shared" ref="P298:P306" ca="1" si="137">IF(M298&gt;0,N298*100/M298,0)</f>
        <v>63.858695652173914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82400</v>
      </c>
      <c r="M300" s="887">
        <f t="shared" ca="1" si="138"/>
        <v>64400</v>
      </c>
      <c r="N300" s="887">
        <f t="shared" ca="1" si="138"/>
        <v>41125</v>
      </c>
      <c r="O300" s="887">
        <f t="shared" ca="1" si="136"/>
        <v>49.908980582524272</v>
      </c>
      <c r="P300" s="887">
        <f t="shared" ca="1" si="137"/>
        <v>63.858695652173914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82400</v>
      </c>
      <c r="M301" s="881">
        <f t="shared" ca="1" si="139"/>
        <v>64400</v>
      </c>
      <c r="N301" s="881">
        <f t="shared" ca="1" si="139"/>
        <v>41125</v>
      </c>
      <c r="O301" s="881">
        <f t="shared" ca="1" si="136"/>
        <v>49.908980582524272</v>
      </c>
      <c r="P301" s="881">
        <f t="shared" ca="1" si="137"/>
        <v>63.858695652173914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IFERROR(__xludf.DUMMYFUNCTION("IMPORTRANGE(""https://docs.google.com/spreadsheets/d/1MeEWN-I1oV_STSDYn1IFDPWt_1FKiwhDph83XaGc0o0/edit?usp=sharing"",""งบพรบ!DS78"")"),82400)</f>
        <v>82400</v>
      </c>
      <c r="M303" s="887">
        <f ca="1">IFERROR(__xludf.DUMMYFUNCTION("IMPORTRANGE(""https://docs.google.com/spreadsheets/d/1MeEWN-I1oV_STSDYn1IFDPWt_1FKiwhDph83XaGc0o0/edit?usp=sharing"",""งบพรบ!DX78"")"),64400)</f>
        <v>64400</v>
      </c>
      <c r="N303" s="887">
        <f ca="1">IFERROR(__xludf.DUMMYFUNCTION("IMPORTRANGE(""https://docs.google.com/spreadsheets/d/1MeEWN-I1oV_STSDYn1IFDPWt_1FKiwhDph83XaGc0o0/edit?usp=sharing"",""งบพรบ!DZ78"")"),41125)</f>
        <v>41125</v>
      </c>
      <c r="O303" s="887">
        <f t="shared" ca="1" si="136"/>
        <v>49.908980582524272</v>
      </c>
      <c r="P303" s="887">
        <f t="shared" ca="1" si="137"/>
        <v>63.858695652173914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IFERROR(__xludf.DUMMYFUNCTION("IMPORTRANGE(""https://docs.google.com/spreadsheets/d/1MeEWN-I1oV_STSDYn1IFDPWt_1FKiwhDph83XaGc0o0/edit?usp=sharing"",""งบพรบ!DV78"")"),0)</f>
        <v>0</v>
      </c>
      <c r="M306" s="887">
        <f ca="1">IFERROR(__xludf.DUMMYFUNCTION("IMPORTRANGE(""https://docs.google.com/spreadsheets/d/1MeEWN-I1oV_STSDYn1IFDPWt_1FKiwhDph83XaGc0o0/edit?usp=sharing"",""งบพรบ!DY78"")"),0)</f>
        <v>0</v>
      </c>
      <c r="N306" s="887">
        <f ca="1">IFERROR(__xludf.DUMMYFUNCTION("IMPORTRANGE(""https://docs.google.com/spreadsheets/d/1MeEWN-I1oV_STSDYn1IFDPWt_1FKiwhDph83XaGc0o0/edit?usp=sharing"",""งบพรบ!EA78"")"),0)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IFERROR(__xludf.DUMMYFUNCTION("IMPORTRANGE(""https://docs.google.com/spreadsheets/d/1QqKyyYR6Q21VydFLVH3TRQUabQu_ym0Zz7PgGX0-kHA/edit?usp=sharing"",""แผน!ED78"")"),20)</f>
        <v>20</v>
      </c>
      <c r="J309" s="1012">
        <v>20</v>
      </c>
      <c r="K309" s="881">
        <f t="shared" ref="K309:K312" ca="1" si="141">IF(I309&gt;0,J309*100/I309,0)</f>
        <v>100</v>
      </c>
      <c r="L309" s="881"/>
      <c r="M309" s="881"/>
      <c r="N309" s="881"/>
      <c r="O309" s="881"/>
      <c r="P309" s="881"/>
    </row>
    <row r="310" spans="1:26" ht="18.75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IFERROR(__xludf.DUMMYFUNCTION("IMPORTRANGE(""https://docs.google.com/spreadsheets/d/1QqKyyYR6Q21VydFLVH3TRQUabQu_ym0Zz7PgGX0-kHA/edit?usp=sharing"",""แผน!ED78"")"),20)</f>
        <v>20</v>
      </c>
      <c r="J310" s="1012">
        <v>20</v>
      </c>
      <c r="K310" s="881">
        <f t="shared" ca="1" si="141"/>
        <v>100</v>
      </c>
      <c r="L310" s="881"/>
      <c r="M310" s="881"/>
      <c r="N310" s="881"/>
      <c r="O310" s="881"/>
      <c r="P310" s="881"/>
    </row>
    <row r="311" spans="1:26" ht="18.75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IFERROR(__xludf.DUMMYFUNCTION("IMPORTRANGE(""https://docs.google.com/spreadsheets/d/1QqKyyYR6Q21VydFLVH3TRQUabQu_ym0Zz7PgGX0-kHA/edit?usp=sharing"",""แผน!ED78"")"),20)</f>
        <v>20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IFERROR(__xludf.DUMMYFUNCTION("IMPORTRANGE(""https://docs.google.com/spreadsheets/d/1QqKyyYR6Q21VydFLVH3TRQUabQu_ym0Zz7PgGX0-kHA/edit?usp=sharing"",""แผน!EE78"")"),4)</f>
        <v>4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0</v>
      </c>
      <c r="J314" s="1190">
        <f t="shared" si="142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0</v>
      </c>
      <c r="M315" s="992">
        <f t="shared" ca="1" si="143"/>
        <v>0</v>
      </c>
      <c r="N315" s="992">
        <f t="shared" ca="1" si="143"/>
        <v>0</v>
      </c>
      <c r="O315" s="992">
        <f t="shared" ref="O315:O323" ca="1" si="144">IF(L315&gt;0,N315*100/L315,0)</f>
        <v>0</v>
      </c>
      <c r="P315" s="992">
        <f t="shared" ref="P315:P323" ca="1" si="145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0</v>
      </c>
      <c r="M317" s="887">
        <f t="shared" ca="1" si="146"/>
        <v>0</v>
      </c>
      <c r="N317" s="887">
        <f t="shared" ca="1" si="146"/>
        <v>0</v>
      </c>
      <c r="O317" s="887">
        <f t="shared" ca="1" si="144"/>
        <v>0</v>
      </c>
      <c r="P317" s="887">
        <f t="shared" ca="1" si="145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0</v>
      </c>
      <c r="M318" s="881">
        <f t="shared" ca="1" si="147"/>
        <v>0</v>
      </c>
      <c r="N318" s="881">
        <f t="shared" ca="1" si="147"/>
        <v>0</v>
      </c>
      <c r="O318" s="881">
        <f t="shared" ca="1" si="144"/>
        <v>0</v>
      </c>
      <c r="P318" s="881">
        <f t="shared" ca="1" si="145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IFERROR(__xludf.DUMMYFUNCTION("IMPORTRANGE(""https://docs.google.com/spreadsheets/d/1MeEWN-I1oV_STSDYn1IFDPWt_1FKiwhDph83XaGc0o0/edit?usp=sharing"",""งบพรบ!EC78"")"),0)</f>
        <v>0</v>
      </c>
      <c r="M320" s="887">
        <f ca="1">IFERROR(__xludf.DUMMYFUNCTION("IMPORTRANGE(""https://docs.google.com/spreadsheets/d/1MeEWN-I1oV_STSDYn1IFDPWt_1FKiwhDph83XaGc0o0/edit?usp=sharing"",""งบพรบ!EH78"")"),0)</f>
        <v>0</v>
      </c>
      <c r="N320" s="887">
        <f ca="1">IFERROR(__xludf.DUMMYFUNCTION("IMPORTRANGE(""https://docs.google.com/spreadsheets/d/1MeEWN-I1oV_STSDYn1IFDPWt_1FKiwhDph83XaGc0o0/edit?usp=sharing"",""งบพรบ!EJ78"")"),0)</f>
        <v>0</v>
      </c>
      <c r="O320" s="887">
        <f t="shared" ca="1" si="144"/>
        <v>0</v>
      </c>
      <c r="P320" s="887">
        <f t="shared" ca="1" si="145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IFERROR(__xludf.DUMMYFUNCTION("IMPORTRANGE(""https://docs.google.com/spreadsheets/d/1MeEWN-I1oV_STSDYn1IFDPWt_1FKiwhDph83XaGc0o0/edit?usp=sharing"",""งบพรบ!EF78"")"),0)</f>
        <v>0</v>
      </c>
      <c r="M323" s="887">
        <f ca="1">IFERROR(__xludf.DUMMYFUNCTION("IMPORTRANGE(""https://docs.google.com/spreadsheets/d/1MeEWN-I1oV_STSDYn1IFDPWt_1FKiwhDph83XaGc0o0/edit?usp=sharing"",""งบพรบ!EI78"")"),0)</f>
        <v>0</v>
      </c>
      <c r="N323" s="887">
        <f ca="1">IFERROR(__xludf.DUMMYFUNCTION("IMPORTRANGE(""https://docs.google.com/spreadsheets/d/1MeEWN-I1oV_STSDYn1IFDPWt_1FKiwhDph83XaGc0o0/edit?usp=sharing"",""งบพรบ!EK78"")"),0)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IFERROR(__xludf.DUMMYFUNCTION("IMPORTRANGE(""https://docs.google.com/spreadsheets/d/1QqKyyYR6Q21VydFLVH3TRQUabQu_ym0Zz7PgGX0-kHA/edit?usp=sharing"",""แผน!EF78"")"),0)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IFERROR(__xludf.DUMMYFUNCTION("IMPORTRANGE(""https://docs.google.com/spreadsheets/d/1QqKyyYR6Q21VydFLVH3TRQUabQu_ym0Zz7PgGX0-kHA/edit?usp=sharing"",""แผน!EG78"")"),1600)</f>
        <v>1600</v>
      </c>
      <c r="J327" s="1190">
        <f ca="1">J338+J341+J342+J343</f>
        <v>1916</v>
      </c>
      <c r="K327" s="1191">
        <f ca="1">IF(I327&gt;0,J327*100/I327,0)</f>
        <v>119.75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174000</v>
      </c>
      <c r="M328" s="992">
        <f t="shared" ca="1" si="149"/>
        <v>133000</v>
      </c>
      <c r="N328" s="992">
        <f t="shared" ca="1" si="149"/>
        <v>78650.33</v>
      </c>
      <c r="O328" s="992">
        <f t="shared" ref="O328:O336" ca="1" si="150">IF(L328&gt;0,N328*100/L328,0)</f>
        <v>45.201339080459768</v>
      </c>
      <c r="P328" s="992">
        <f t="shared" ref="P328:P336" ca="1" si="151">IF(M328&gt;0,N328*100/M328,0)</f>
        <v>59.135586466165414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174000</v>
      </c>
      <c r="M330" s="887">
        <f t="shared" ca="1" si="152"/>
        <v>133000</v>
      </c>
      <c r="N330" s="887">
        <f t="shared" ca="1" si="152"/>
        <v>78650.33</v>
      </c>
      <c r="O330" s="887">
        <f t="shared" ca="1" si="150"/>
        <v>45.201339080459768</v>
      </c>
      <c r="P330" s="887">
        <f t="shared" ca="1" si="151"/>
        <v>59.135586466165414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174000</v>
      </c>
      <c r="M331" s="881">
        <f t="shared" ca="1" si="153"/>
        <v>133000</v>
      </c>
      <c r="N331" s="881">
        <f t="shared" ca="1" si="153"/>
        <v>78650.33</v>
      </c>
      <c r="O331" s="881">
        <f t="shared" ca="1" si="150"/>
        <v>45.201339080459768</v>
      </c>
      <c r="P331" s="881">
        <f t="shared" ca="1" si="151"/>
        <v>59.135586466165414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IFERROR(__xludf.DUMMYFUNCTION("IMPORTRANGE(""https://docs.google.com/spreadsheets/d/1MeEWN-I1oV_STSDYn1IFDPWt_1FKiwhDph83XaGc0o0/edit?usp=sharing"",""งบพรบ!EM78"")"),174000)</f>
        <v>174000</v>
      </c>
      <c r="M333" s="887">
        <f ca="1">IFERROR(__xludf.DUMMYFUNCTION("IMPORTRANGE(""https://docs.google.com/spreadsheets/d/1MeEWN-I1oV_STSDYn1IFDPWt_1FKiwhDph83XaGc0o0/edit?usp=sharing"",""งบพรบ!ER78"")"),133000)</f>
        <v>133000</v>
      </c>
      <c r="N333" s="887">
        <f ca="1">IFERROR(__xludf.DUMMYFUNCTION("IMPORTRANGE(""https://docs.google.com/spreadsheets/d/1MeEWN-I1oV_STSDYn1IFDPWt_1FKiwhDph83XaGc0o0/edit?usp=sharing"",""งบพรบ!ET78"")"),78650.33)</f>
        <v>78650.33</v>
      </c>
      <c r="O333" s="887">
        <f t="shared" ca="1" si="150"/>
        <v>45.201339080459768</v>
      </c>
      <c r="P333" s="887">
        <f t="shared" ca="1" si="151"/>
        <v>59.135586466165414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IFERROR(__xludf.DUMMYFUNCTION("IMPORTRANGE(""https://docs.google.com/spreadsheets/d/1MeEWN-I1oV_STSDYn1IFDPWt_1FKiwhDph83XaGc0o0/edit?usp=sharing"",""งบพรบ!EP78"")"),0)</f>
        <v>0</v>
      </c>
      <c r="M336" s="887">
        <f ca="1">IFERROR(__xludf.DUMMYFUNCTION("IMPORTRANGE(""https://docs.google.com/spreadsheets/d/1MeEWN-I1oV_STSDYn1IFDPWt_1FKiwhDph83XaGc0o0/edit?usp=sharing"",""งบพรบ!ES78"")"),0)</f>
        <v>0</v>
      </c>
      <c r="N336" s="887">
        <f ca="1">IFERROR(__xludf.DUMMYFUNCTION("IMPORTRANGE(""https://docs.google.com/spreadsheets/d/1MeEWN-I1oV_STSDYn1IFDPWt_1FKiwhDph83XaGc0o0/edit?usp=sharing"",""งบพรบ!EU78"")"),0)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IFERROR(__xludf.DUMMYFUNCTION("IMPORTRANGE(""https://docs.google.com/spreadsheets/d/1QqKyyYR6Q21VydFLVH3TRQUabQu_ym0Zz7PgGX0-kHA/edit?usp=sharing"",""แผน!EG78"")"),1600)</f>
        <v>1600</v>
      </c>
      <c r="J338" s="880">
        <f ca="1">IFERROR(__xludf.DUMMYFUNCTION("IMPORTRANGE(""https://docs.google.com/spreadsheets/d/1kVcqe37tkHyjCSG3S0O1AXqVkqjo8mSIZil3BcpIysc/edit?usp=sharing"",""ศูนย์!D78"")"),1775)</f>
        <v>1775</v>
      </c>
      <c r="K338" s="881">
        <f ca="1">IF(I338&gt;0,J338*100/I338,0)</f>
        <v>110.9375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IFERROR(__xludf.DUMMYFUNCTION("IMPORTRANGE(""https://docs.google.com/spreadsheets/d/1QqKyyYR6Q21VydFLVH3TRQUabQu_ym0Zz7PgGX0-kHA/edit?usp=sharing"",""แผน!EH78"")"),8)</f>
        <v>8</v>
      </c>
      <c r="J340" s="880">
        <f ca="1">IFERROR(__xludf.DUMMYFUNCTION("IMPORTRANGE(""https://docs.google.com/spreadsheets/d/1kVcqe37tkHyjCSG3S0O1AXqVkqjo8mSIZil3BcpIysc/edit?usp=sharing"",""ศูนย์!E78"")"),4)</f>
        <v>4</v>
      </c>
      <c r="K340" s="881">
        <f ca="1">IF(I340&gt;0,J340*100/I340,0)</f>
        <v>50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IFERROR(__xludf.DUMMYFUNCTION("IMPORTRANGE(""https://docs.google.com/spreadsheets/d/1kVcqe37tkHyjCSG3S0O1AXqVkqjo8mSIZil3BcpIysc/edit?usp=sharing"",""ศูนย์!F78"")"),141)</f>
        <v>141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IFERROR(__xludf.DUMMYFUNCTION("IMPORTRANGE(""https://docs.google.com/spreadsheets/d/1kVcqe37tkHyjCSG3S0O1AXqVkqjo8mSIZil3BcpIysc/edit?usp=sharing"",""ศูนย์!G78"")"),0)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IFERROR(__xludf.DUMMYFUNCTION("IMPORTRANGE(""https://docs.google.com/spreadsheets/d/1kVcqe37tkHyjCSG3S0O1AXqVkqjo8mSIZil3BcpIysc/edit?usp=sharing"",""ศูนย์!H78"")"),0)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695090</v>
      </c>
      <c r="M345" s="992">
        <f t="shared" ca="1" si="155"/>
        <v>609370</v>
      </c>
      <c r="N345" s="992">
        <f t="shared" ca="1" si="155"/>
        <v>483100.87</v>
      </c>
      <c r="O345" s="992">
        <f t="shared" ref="O345:O353" ca="1" si="156">IF(L345&gt;0,N345*100/L345,0)</f>
        <v>69.501916298608819</v>
      </c>
      <c r="P345" s="992">
        <f t="shared" ref="P345:P353" ca="1" si="157">IF(M345&gt;0,N345*100/M345,0)</f>
        <v>79.278741979421369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695090</v>
      </c>
      <c r="M347" s="887">
        <f t="shared" ca="1" si="158"/>
        <v>609370</v>
      </c>
      <c r="N347" s="887">
        <f t="shared" ca="1" si="158"/>
        <v>483100.87</v>
      </c>
      <c r="O347" s="887">
        <f t="shared" ca="1" si="156"/>
        <v>69.501916298608819</v>
      </c>
      <c r="P347" s="887">
        <f t="shared" ca="1" si="157"/>
        <v>79.278741979421369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619090</v>
      </c>
      <c r="M348" s="881">
        <f t="shared" ca="1" si="159"/>
        <v>534370</v>
      </c>
      <c r="N348" s="881">
        <f t="shared" ca="1" si="159"/>
        <v>408100.87</v>
      </c>
      <c r="O348" s="881">
        <f t="shared" ca="1" si="156"/>
        <v>65.919473743720616</v>
      </c>
      <c r="P348" s="881">
        <f t="shared" ca="1" si="157"/>
        <v>76.370468027771025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IFERROR(__xludf.DUMMYFUNCTION("IMPORTRANGE(""https://docs.google.com/spreadsheets/d/1MeEWN-I1oV_STSDYn1IFDPWt_1FKiwhDph83XaGc0o0/edit?usp=sharing"",""งบพรบ!EW78"")"),619090)</f>
        <v>619090</v>
      </c>
      <c r="M350" s="887">
        <f ca="1">IFERROR(__xludf.DUMMYFUNCTION("IMPORTRANGE(""https://docs.google.com/spreadsheets/d/1MeEWN-I1oV_STSDYn1IFDPWt_1FKiwhDph83XaGc0o0/edit?usp=sharing"",""งบพรบ!FB78"")"),534370)</f>
        <v>534370</v>
      </c>
      <c r="N350" s="887">
        <f ca="1">IFERROR(__xludf.DUMMYFUNCTION("IMPORTRANGE(""https://docs.google.com/spreadsheets/d/1MeEWN-I1oV_STSDYn1IFDPWt_1FKiwhDph83XaGc0o0/edit?usp=sharing"",""งบพรบ!FD78"")"),408100.87)</f>
        <v>408100.87</v>
      </c>
      <c r="O350" s="887">
        <f t="shared" ca="1" si="156"/>
        <v>65.919473743720616</v>
      </c>
      <c r="P350" s="887">
        <f t="shared" ca="1" si="157"/>
        <v>76.370468027771025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76000</v>
      </c>
      <c r="M351" s="881">
        <f t="shared" ca="1" si="160"/>
        <v>75000</v>
      </c>
      <c r="N351" s="881">
        <f t="shared" ca="1" si="160"/>
        <v>75000</v>
      </c>
      <c r="O351" s="881">
        <f t="shared" ca="1" si="156"/>
        <v>98.684210526315795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IFERROR(__xludf.DUMMYFUNCTION("IMPORTRANGE(""https://docs.google.com/spreadsheets/d/1MeEWN-I1oV_STSDYn1IFDPWt_1FKiwhDph83XaGc0o0/edit?usp=sharing"",""งบพรบ!EZ78"")"),76000)</f>
        <v>76000</v>
      </c>
      <c r="M353" s="887">
        <f ca="1">IFERROR(__xludf.DUMMYFUNCTION("IMPORTRANGE(""https://docs.google.com/spreadsheets/d/1MeEWN-I1oV_STSDYn1IFDPWt_1FKiwhDph83XaGc0o0/edit?usp=sharing"",""งบพรบ!FC78"")"),75000)</f>
        <v>75000</v>
      </c>
      <c r="N353" s="887">
        <f ca="1">IFERROR(__xludf.DUMMYFUNCTION("IMPORTRANGE(""https://docs.google.com/spreadsheets/d/1MeEWN-I1oV_STSDYn1IFDPWt_1FKiwhDph83XaGc0o0/edit?usp=sharing"",""งบพรบ!FE78"")"),75000)</f>
        <v>75000</v>
      </c>
      <c r="O353" s="887">
        <f t="shared" ca="1" si="156"/>
        <v>98.684210526315795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IFERROR(__xludf.DUMMYFUNCTION("IMPORTRANGE(""https://docs.google.com/spreadsheets/d/1QqKyyYR6Q21VydFLVH3TRQUabQu_ym0Zz7PgGX0-kHA/edit?usp=sharing"",""แผน!EP78"")"),250)</f>
        <v>250</v>
      </c>
      <c r="J355" s="1206">
        <f ca="1">J362</f>
        <v>95</v>
      </c>
      <c r="K355" s="1207">
        <f ca="1">IF(I355&gt;0,J355*100/I355,0)</f>
        <v>38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IFERROR(__xludf.DUMMYFUNCTION("IMPORTRANGE(""https://docs.google.com/spreadsheets/d/1XWAQStnk-4SwqDmLtmXYiTMKHgktTP8We1SCoS47DrQ/edit?usp=sharing"",""จัดที่ดิน!W78"")"),169)</f>
        <v>169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IFERROR(__xludf.DUMMYFUNCTION("IMPORTRANGE(""https://docs.google.com/spreadsheets/d/1QqKyyYR6Q21VydFLVH3TRQUabQu_ym0Zz7PgGX0-kHA/edit?usp=sharing"",""แผน!EO78"")"),3020)</f>
        <v>3020</v>
      </c>
      <c r="J359" s="880">
        <f ca="1">IFERROR(__xludf.DUMMYFUNCTION("IMPORTRANGE(""https://docs.google.com/spreadsheets/d/1XWAQStnk-4SwqDmLtmXYiTMKHgktTP8We1SCoS47DrQ/edit?usp=sharing"",""จัดที่ดิน!X78"")"),1159.6)</f>
        <v>1159.5999999999999</v>
      </c>
      <c r="K359" s="881">
        <f t="shared" ca="1" si="161"/>
        <v>38.397350993377479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IFERROR(__xludf.DUMMYFUNCTION("IMPORTRANGE(""https://docs.google.com/spreadsheets/d/1QqKyyYR6Q21VydFLVH3TRQUabQu_ym0Zz7PgGX0-kHA/edit?usp=sharing"",""แผน!EP78"")"),250)</f>
        <v>250</v>
      </c>
      <c r="J360" s="880">
        <f ca="1">IFERROR(__xludf.DUMMYFUNCTION("IMPORTRANGE(""https://docs.google.com/spreadsheets/d/1XWAQStnk-4SwqDmLtmXYiTMKHgktTP8We1SCoS47DrQ/edit?usp=sharing"",""จัดที่ดิน!Y78"")"),114)</f>
        <v>114</v>
      </c>
      <c r="K360" s="881">
        <f t="shared" ca="1" si="161"/>
        <v>45.6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IFERROR(__xludf.DUMMYFUNCTION("IMPORTRANGE(""https://docs.google.com/spreadsheets/d/1XWAQStnk-4SwqDmLtmXYiTMKHgktTP8We1SCoS47DrQ/edit?usp=sharing"",""จัดที่ดิน!Z78"")"),849.609999999999)</f>
        <v>849.60999999999899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IFERROR(__xludf.DUMMYFUNCTION("IMPORTRANGE(""https://docs.google.com/spreadsheets/d/1QqKyyYR6Q21VydFLVH3TRQUabQu_ym0Zz7PgGX0-kHA/edit?usp=sharing"",""แผน!EP78"")"),250)</f>
        <v>250</v>
      </c>
      <c r="J362" s="880">
        <f ca="1">IFERROR(__xludf.DUMMYFUNCTION("IMPORTRANGE(""https://docs.google.com/spreadsheets/d/1XWAQStnk-4SwqDmLtmXYiTMKHgktTP8We1SCoS47DrQ/edit?usp=sharing"",""จัดที่ดิน!AA78"")"),95)</f>
        <v>95</v>
      </c>
      <c r="K362" s="881">
        <f t="shared" ca="1" si="161"/>
        <v>38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IFERROR(__xludf.DUMMYFUNCTION("IMPORTRANGE(""https://docs.google.com/spreadsheets/d/1XWAQStnk-4SwqDmLtmXYiTMKHgktTP8We1SCoS47DrQ/edit?usp=sharing"",""จัดที่ดิน!AB78"")"),743.27)</f>
        <v>743.27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600</v>
      </c>
      <c r="J364" s="1219">
        <f t="shared" ca="1" si="162"/>
        <v>329</v>
      </c>
      <c r="K364" s="1220">
        <f t="shared" ca="1" si="161"/>
        <v>54.833333333333336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IFERROR(__xludf.DUMMYFUNCTION("IMPORTRANGE(""https://docs.google.com/spreadsheets/d/1QqKyyYR6Q21VydFLVH3TRQUabQu_ym0Zz7PgGX0-kHA/edit?usp=sharing"",""แผน!EJ78"")"),150)</f>
        <v>150</v>
      </c>
      <c r="J365" s="1227">
        <f ca="1">J372</f>
        <v>95</v>
      </c>
      <c r="K365" s="1228">
        <f t="shared" ca="1" si="161"/>
        <v>63.333333333333336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IFERROR(__xludf.DUMMYFUNCTION("IMPORTRANGE(""https://docs.google.com/spreadsheets/d/1XWAQStnk-4SwqDmLtmXYiTMKHgktTP8We1SCoS47DrQ/edit?usp=sharing"",""จัดที่ดิน!E78"")"),143)</f>
        <v>143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IFERROR(__xludf.DUMMYFUNCTION("IMPORTRANGE(""https://docs.google.com/spreadsheets/d/1QqKyyYR6Q21VydFLVH3TRQUabQu_ym0Zz7PgGX0-kHA/edit?usp=sharing"",""แผน!EI78"")"),1520)</f>
        <v>1520</v>
      </c>
      <c r="J369" s="880">
        <f ca="1">IFERROR(__xludf.DUMMYFUNCTION("IMPORTRANGE(""https://docs.google.com/spreadsheets/d/1XWAQStnk-4SwqDmLtmXYiTMKHgktTP8We1SCoS47DrQ/edit?usp=sharing"",""จัดที่ดิน!F78"")"),985.9)</f>
        <v>985.9</v>
      </c>
      <c r="K369" s="881">
        <f t="shared" ca="1" si="163"/>
        <v>64.861842105263165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IFERROR(__xludf.DUMMYFUNCTION("IMPORTRANGE(""https://docs.google.com/spreadsheets/d/1QqKyyYR6Q21VydFLVH3TRQUabQu_ym0Zz7PgGX0-kHA/edit?usp=sharing"",""แผน!EJ78"")"),150)</f>
        <v>150</v>
      </c>
      <c r="J370" s="880">
        <f ca="1">IFERROR(__xludf.DUMMYFUNCTION("IMPORTRANGE(""https://docs.google.com/spreadsheets/d/1XWAQStnk-4SwqDmLtmXYiTMKHgktTP8We1SCoS47DrQ/edit?usp=sharing"",""จัดที่ดิน!G78"")"),93)</f>
        <v>93</v>
      </c>
      <c r="K370" s="881">
        <f t="shared" ca="1" si="163"/>
        <v>62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IFERROR(__xludf.DUMMYFUNCTION("IMPORTRANGE(""https://docs.google.com/spreadsheets/d/1XWAQStnk-4SwqDmLtmXYiTMKHgktTP8We1SCoS47DrQ/edit?usp=sharing"",""จัดที่ดิน!H78"")"),699.66)</f>
        <v>699.66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IFERROR(__xludf.DUMMYFUNCTION("IMPORTRANGE(""https://docs.google.com/spreadsheets/d/1QqKyyYR6Q21VydFLVH3TRQUabQu_ym0Zz7PgGX0-kHA/edit?usp=sharing"",""แผน!EJ78"")"),150)</f>
        <v>150</v>
      </c>
      <c r="J372" s="880">
        <f ca="1">IFERROR(__xludf.DUMMYFUNCTION("IMPORTRANGE(""https://docs.google.com/spreadsheets/d/1XWAQStnk-4SwqDmLtmXYiTMKHgktTP8We1SCoS47DrQ/edit?usp=sharing"",""จัดที่ดิน!I78"")"),95)</f>
        <v>95</v>
      </c>
      <c r="K372" s="881">
        <f t="shared" ca="1" si="163"/>
        <v>63.333333333333336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IFERROR(__xludf.DUMMYFUNCTION("IMPORTRANGE(""https://docs.google.com/spreadsheets/d/1XWAQStnk-4SwqDmLtmXYiTMKHgktTP8We1SCoS47DrQ/edit?usp=sharing"",""จัดที่ดิน!J78"")"),743.27)</f>
        <v>743.27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IFERROR(__xludf.DUMMYFUNCTION("IMPORTRANGE(""https://docs.google.com/spreadsheets/d/1QqKyyYR6Q21VydFLVH3TRQUabQu_ym0Zz7PgGX0-kHA/edit?usp=sharing"",""แผน!EU78"")"),450)</f>
        <v>450</v>
      </c>
      <c r="J374" s="1227">
        <f ca="1">J381</f>
        <v>234</v>
      </c>
      <c r="K374" s="1228">
        <f t="shared" ca="1" si="163"/>
        <v>52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IFERROR(__xludf.DUMMYFUNCTION("IMPORTRANGE(""https://docs.google.com/spreadsheets/d/1XWAQStnk-4SwqDmLtmXYiTMKHgktTP8We1SCoS47DrQ/edit?usp=sharing"",""จัดที่ดิน!AH78"")"),26)</f>
        <v>26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IFERROR(__xludf.DUMMYFUNCTION("IMPORTRANGE(""https://docs.google.com/spreadsheets/d/1QqKyyYR6Q21VydFLVH3TRQUabQu_ym0Zz7PgGX0-kHA/edit?usp=sharing"",""แผน!ET78"")"),1500)</f>
        <v>1500</v>
      </c>
      <c r="J378" s="880">
        <f ca="1">IFERROR(__xludf.DUMMYFUNCTION("IMPORTRANGE(""https://docs.google.com/spreadsheets/d/1XWAQStnk-4SwqDmLtmXYiTMKHgktTP8We1SCoS47DrQ/edit?usp=sharing"",""จัดที่ดิน!AI78"")"),173.7)</f>
        <v>173.7</v>
      </c>
      <c r="K378" s="881">
        <f t="shared" ca="1" si="164"/>
        <v>11.58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IFERROR(__xludf.DUMMYFUNCTION("IMPORTRANGE(""https://docs.google.com/spreadsheets/d/1QqKyyYR6Q21VydFLVH3TRQUabQu_ym0Zz7PgGX0-kHA/edit?usp=sharing"",""แผน!EU78"")"),450)</f>
        <v>450</v>
      </c>
      <c r="J379" s="880">
        <f ca="1">IFERROR(__xludf.DUMMYFUNCTION("IMPORTRANGE(""https://docs.google.com/spreadsheets/d/1XWAQStnk-4SwqDmLtmXYiTMKHgktTP8We1SCoS47DrQ/edit?usp=sharing"",""จัดที่ดิน!AJ78"")"),255)</f>
        <v>255</v>
      </c>
      <c r="K379" s="881">
        <f t="shared" ca="1" si="164"/>
        <v>56.666666666666664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IFERROR(__xludf.DUMMYFUNCTION("IMPORTRANGE(""https://docs.google.com/spreadsheets/d/1XWAQStnk-4SwqDmLtmXYiTMKHgktTP8We1SCoS47DrQ/edit?usp=sharing"",""จัดที่ดิน!AK78"")"),2383.75999999999)</f>
        <v>2383.7599999999902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IFERROR(__xludf.DUMMYFUNCTION("IMPORTRANGE(""https://docs.google.com/spreadsheets/d/1QqKyyYR6Q21VydFLVH3TRQUabQu_ym0Zz7PgGX0-kHA/edit?usp=sharing"",""แผน!EU78"")"),450)</f>
        <v>450</v>
      </c>
      <c r="J381" s="880">
        <f ca="1">IFERROR(__xludf.DUMMYFUNCTION("IMPORTRANGE(""https://docs.google.com/spreadsheets/d/1XWAQStnk-4SwqDmLtmXYiTMKHgktTP8We1SCoS47DrQ/edit?usp=sharing"",""จัดที่ดิน!AL78"")"),234)</f>
        <v>234</v>
      </c>
      <c r="K381" s="881">
        <f t="shared" ca="1" si="164"/>
        <v>52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IFERROR(__xludf.DUMMYFUNCTION("IMPORTRANGE(""https://docs.google.com/spreadsheets/d/1XWAQStnk-4SwqDmLtmXYiTMKHgktTP8We1SCoS47DrQ/edit?usp=sharing"",""จัดที่ดิน!AM78"")"),2237.85)</f>
        <v>2237.85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IFERROR(__xludf.DUMMYFUNCTION("IMPORTRANGE(""https://docs.google.com/spreadsheets/d/1QqKyyYR6Q21VydFLVH3TRQUabQu_ym0Zz7PgGX0-kHA/edit?usp=sharing"",""แผน!EW78"")"),40)</f>
        <v>40</v>
      </c>
      <c r="J385" s="1138">
        <f ca="1">IFERROR(__xludf.DUMMYFUNCTION("IMPORTRANGE(""https://docs.google.com/spreadsheets/d/1XWAQStnk-4SwqDmLtmXYiTMKHgktTP8We1SCoS47DrQ/edit?usp=sharing"",""จัดที่ดิน!AP78"")"),13)</f>
        <v>13</v>
      </c>
      <c r="K385" s="1239">
        <f ca="1">IF(I385&gt;0,J385*100/I385,0)</f>
        <v>32.5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IFERROR(__xludf.DUMMYFUNCTION("IMPORTRANGE(""https://docs.google.com/spreadsheets/d/1MeEWN-I1oV_STSDYn1IFDPWt_1FKiwhDph83XaGc0o0/edit?usp=sharing"",""งบพรบ!FG78"")"),0)</f>
        <v>0</v>
      </c>
      <c r="M394" s="887">
        <f ca="1">IFERROR(__xludf.DUMMYFUNCTION("IMPORTRANGE(""https://docs.google.com/spreadsheets/d/1MeEWN-I1oV_STSDYn1IFDPWt_1FKiwhDph83XaGc0o0/edit?usp=sharing"",""งบพรบ!FL78"")"),0)</f>
        <v>0</v>
      </c>
      <c r="N394" s="887">
        <f ca="1">IFERROR(__xludf.DUMMYFUNCTION("IMPORTRANGE(""https://docs.google.com/spreadsheets/d/1MeEWN-I1oV_STSDYn1IFDPWt_1FKiwhDph83XaGc0o0/edit?usp=sharing"",""งบพรบ!FN78"")"),0)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IFERROR(__xludf.DUMMYFUNCTION("IMPORTRANGE(""https://docs.google.com/spreadsheets/d/1MeEWN-I1oV_STSDYn1IFDPWt_1FKiwhDph83XaGc0o0/edit?usp=sharing"",""งบพรบ!FJ78"")"),0)</f>
        <v>0</v>
      </c>
      <c r="M397" s="887">
        <f ca="1">IFERROR(__xludf.DUMMYFUNCTION("IMPORTRANGE(""https://docs.google.com/spreadsheets/d/1MeEWN-I1oV_STSDYn1IFDPWt_1FKiwhDph83XaGc0o0/edit?usp=sharing"",""งบพรบ!FM78"")"),0)</f>
        <v>0</v>
      </c>
      <c r="N397" s="887">
        <f ca="1">IFERROR(__xludf.DUMMYFUNCTION("IMPORTRANGE(""https://docs.google.com/spreadsheets/d/1MeEWN-I1oV_STSDYn1IFDPWt_1FKiwhDph83XaGc0o0/edit?usp=sharing"",""งบพรบ!FO78"")"),0)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IFERROR(__xludf.DUMMYFUNCTION("IMPORTRANGE(""https://docs.google.com/spreadsheets/d/1MeEWN-I1oV_STSDYn1IFDPWt_1FKiwhDph83XaGc0o0/edit?usp=sharing"",""งบพรบ!FQ78"")"),0)</f>
        <v>0</v>
      </c>
      <c r="M407" s="887">
        <f ca="1">IFERROR(__xludf.DUMMYFUNCTION("IMPORTRANGE(""https://docs.google.com/spreadsheets/d/1MeEWN-I1oV_STSDYn1IFDPWt_1FKiwhDph83XaGc0o0/edit?usp=sharing"",""งบพรบ!FV78"")"),0)</f>
        <v>0</v>
      </c>
      <c r="N407" s="887">
        <f ca="1">IFERROR(__xludf.DUMMYFUNCTION("IMPORTRANGE(""https://docs.google.com/spreadsheets/d/1MeEWN-I1oV_STSDYn1IFDPWt_1FKiwhDph83XaGc0o0/edit?usp=sharing"",""งบพรบ!FX78"")"),0)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IFERROR(__xludf.DUMMYFUNCTION("IMPORTRANGE(""https://docs.google.com/spreadsheets/d/1MeEWN-I1oV_STSDYn1IFDPWt_1FKiwhDph83XaGc0o0/edit?usp=sharing"",""งบพรบ!FT78"")"),0)</f>
        <v>0</v>
      </c>
      <c r="M410" s="887">
        <f ca="1">IFERROR(__xludf.DUMMYFUNCTION("IMPORTRANGE(""https://docs.google.com/spreadsheets/d/1MeEWN-I1oV_STSDYn1IFDPWt_1FKiwhDph83XaGc0o0/edit?usp=sharing"",""งบพรบ!FW78"")"),0)</f>
        <v>0</v>
      </c>
      <c r="N410" s="887">
        <f ca="1">IFERROR(__xludf.DUMMYFUNCTION("IMPORTRANGE(""https://docs.google.com/spreadsheets/d/1MeEWN-I1oV_STSDYn1IFDPWt_1FKiwhDph83XaGc0o0/edit?usp=sharing"",""งบพรบ!FY78"")"),0)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792843</v>
      </c>
      <c r="M414" s="1281">
        <f t="shared" ca="1" si="181"/>
        <v>792843</v>
      </c>
      <c r="N414" s="1281">
        <f t="shared" si="181"/>
        <v>240654.18</v>
      </c>
      <c r="O414" s="1281">
        <f ca="1">IF(L414&gt;0,N414*100/L414,0)</f>
        <v>30.353320897075463</v>
      </c>
      <c r="P414" s="1281">
        <f ca="1">IF(M414&gt;0,N414*100/M414,0)</f>
        <v>30.353320897075463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20</v>
      </c>
      <c r="J417" s="1294">
        <f t="shared" ca="1" si="182"/>
        <v>20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78660</v>
      </c>
      <c r="M419" s="992">
        <f t="shared" ca="1" si="184"/>
        <v>78660</v>
      </c>
      <c r="N419" s="992">
        <f t="shared" si="184"/>
        <v>27815</v>
      </c>
      <c r="O419" s="992">
        <f t="shared" ref="O419:O424" ca="1" si="185">IF(L419&gt;0,N419*100/L419,0)</f>
        <v>35.36104754640224</v>
      </c>
      <c r="P419" s="992">
        <f t="shared" ref="P419:P424" ca="1" si="186">IF(M419&gt;0,N419*100/M419,0)</f>
        <v>35.36104754640224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78660</v>
      </c>
      <c r="M421" s="887">
        <f t="shared" ca="1" si="187"/>
        <v>78660</v>
      </c>
      <c r="N421" s="887">
        <f t="shared" si="187"/>
        <v>27815</v>
      </c>
      <c r="O421" s="887">
        <f t="shared" ca="1" si="185"/>
        <v>35.36104754640224</v>
      </c>
      <c r="P421" s="887">
        <f t="shared" ca="1" si="186"/>
        <v>35.36104754640224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78660</v>
      </c>
      <c r="M422" s="881">
        <f t="shared" ca="1" si="188"/>
        <v>78660</v>
      </c>
      <c r="N422" s="881">
        <f t="shared" si="188"/>
        <v>27815</v>
      </c>
      <c r="O422" s="881">
        <f t="shared" ca="1" si="185"/>
        <v>35.36104754640224</v>
      </c>
      <c r="P422" s="881">
        <f t="shared" ca="1" si="186"/>
        <v>35.36104754640224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IFERROR(__xludf.DUMMYFUNCTION("IMPORTRANGE(""https://docs.google.com/spreadsheets/d/1QqKyyYR6Q21VydFLVH3TRQUabQu_ym0Zz7PgGX0-kHA/edit?usp=sharing"",""แผน!EY78"")"),78660)</f>
        <v>78660</v>
      </c>
      <c r="M424" s="887">
        <f ca="1">L424</f>
        <v>78660</v>
      </c>
      <c r="N424" s="887">
        <f>N425+N426+N427+N428</f>
        <v>27815</v>
      </c>
      <c r="O424" s="887">
        <f t="shared" ca="1" si="185"/>
        <v>35.36104754640224</v>
      </c>
      <c r="P424" s="887">
        <f t="shared" ca="1" si="186"/>
        <v>35.36104754640224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f>22120+960</f>
        <v>23080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f>1360+3375</f>
        <v>4735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IFERROR(__xludf.DUMMYFUNCTION("IMPORTRANGE(""https://docs.google.com/spreadsheets/d/1QqKyyYR6Q21VydFLVH3TRQUabQu_ym0Zz7PgGX0-kHA/edit?usp=sharing"",""แผน!FB78"")"),0)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20</v>
      </c>
      <c r="J433" s="1019">
        <f ca="1">IF(AND(J435=I435,J437=I437,J439=I439),I437+I439,IF(AND(J435=I437,J437=I437),I437,IF(AND(J435=I439,J439=I439),I439,0)))</f>
        <v>20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IFERROR(__xludf.DUMMYFUNCTION("IMPORTRANGE(""https://docs.google.com/spreadsheets/d/1QqKyyYR6Q21VydFLVH3TRQUabQu_ym0Zz7PgGX0-kHA/edit?usp=sharing"",""แผน!FC78"")"),20)</f>
        <v>20</v>
      </c>
      <c r="J435" s="583">
        <v>20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IFERROR(__xludf.DUMMYFUNCTION("IMPORTRANGE(""https://docs.google.com/spreadsheets/d/1QqKyyYR6Q21VydFLVH3TRQUabQu_ym0Zz7PgGX0-kHA/edit?usp=sharing"",""แผน!FD78"")"),0)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IFERROR(__xludf.DUMMYFUNCTION("IMPORTRANGE(""https://docs.google.com/spreadsheets/d/1QqKyyYR6Q21VydFLVH3TRQUabQu_ym0Zz7PgGX0-kHA/edit?usp=sharing"",""แผน!FE78"")"),0)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IFERROR(__xludf.DUMMYFUNCTION("IMPORTRANGE(""https://docs.google.com/spreadsheets/d/1QqKyyYR6Q21VydFLVH3TRQUabQu_ym0Zz7PgGX0-kHA/edit?usp=sharing"",""แผน!FF78"")"),20)</f>
        <v>20</v>
      </c>
      <c r="J439" s="583">
        <v>20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IFERROR(__xludf.DUMMYFUNCTION("IMPORTRANGE(""https://docs.google.com/spreadsheets/d/1QqKyyYR6Q21VydFLVH3TRQUabQu_ym0Zz7PgGX0-kHA/edit?usp=sharing"",""แผน!FG78"")"),1)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 hidden="1">
      <c r="A441" s="1002"/>
      <c r="B441" s="1003"/>
      <c r="C441" s="1003"/>
      <c r="D441" s="1074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IFERROR(__xludf.DUMMYFUNCTION("IMPORTRANGE(""https://docs.google.com/spreadsheets/d/1QqKyyYR6Q21VydFLVH3TRQUabQu_ym0Zz7PgGX0-kHA/edit?usp=sharing"",""แผน!FH78"")"),0)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 hidden="1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0</v>
      </c>
      <c r="J442" s="1310">
        <f t="shared" si="195"/>
        <v>0</v>
      </c>
      <c r="K442" s="1311">
        <f t="shared" ca="1" si="194"/>
        <v>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 hidden="1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0</v>
      </c>
      <c r="J443" s="1294">
        <f t="shared" si="196"/>
        <v>0</v>
      </c>
      <c r="K443" s="1295">
        <f t="shared" ca="1" si="194"/>
        <v>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 hidden="1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0</v>
      </c>
      <c r="M444" s="1020">
        <f t="shared" si="197"/>
        <v>0</v>
      </c>
      <c r="N444" s="1020">
        <f t="shared" si="197"/>
        <v>0</v>
      </c>
      <c r="O444" s="1020">
        <f t="shared" ref="O444:O449" ca="1" si="198">IF(L444&gt;0,N444*100/L444,0)</f>
        <v>0</v>
      </c>
      <c r="P444" s="1020">
        <f t="shared" ref="P444:P449" si="199">IF(M444&gt;0,N444*100/M444,0)</f>
        <v>0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0</v>
      </c>
      <c r="M446" s="887">
        <f t="shared" si="200"/>
        <v>0</v>
      </c>
      <c r="N446" s="887">
        <f t="shared" si="200"/>
        <v>0</v>
      </c>
      <c r="O446" s="887">
        <f t="shared" ca="1" si="198"/>
        <v>0</v>
      </c>
      <c r="P446" s="887">
        <f t="shared" si="199"/>
        <v>0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 hidden="1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0</v>
      </c>
      <c r="M447" s="881">
        <f t="shared" si="201"/>
        <v>0</v>
      </c>
      <c r="N447" s="881">
        <f t="shared" si="201"/>
        <v>0</v>
      </c>
      <c r="O447" s="881">
        <f t="shared" ca="1" si="198"/>
        <v>0</v>
      </c>
      <c r="P447" s="881">
        <f t="shared" si="199"/>
        <v>0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IFERROR(__xludf.DUMMYFUNCTION("IMPORTRANGE(""https://docs.google.com/spreadsheets/d/1QqKyyYR6Q21VydFLVH3TRQUabQu_ym0Zz7PgGX0-kHA/edit?usp=sharing"",""แผน!FJ78"")"),0)</f>
        <v>0</v>
      </c>
      <c r="M449" s="887">
        <v>0</v>
      </c>
      <c r="N449" s="887">
        <f>N450+N451+N452+N453</f>
        <v>0</v>
      </c>
      <c r="O449" s="887">
        <f t="shared" ca="1" si="198"/>
        <v>0</v>
      </c>
      <c r="P449" s="887">
        <f t="shared" si="199"/>
        <v>0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 hidden="1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 hidden="1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 hidden="1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 hidden="1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 hidden="1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IFERROR(__xludf.DUMMYFUNCTION("IMPORTRANGE(""https://docs.google.com/spreadsheets/d/1QqKyyYR6Q21VydFLVH3TRQUabQu_ym0Zz7PgGX0-kHA/edit?usp=sharing"",""แผน!FM78"")"),0)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 hidden="1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 hidden="1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IFERROR(__xludf.DUMMYFUNCTION("IMPORTRANGE(""https://docs.google.com/spreadsheets/d/1QqKyyYR6Q21VydFLVH3TRQUabQu_ym0Zz7PgGX0-kHA/edit?usp=sharing"",""แผน!FN78"")"),0)</f>
        <v>0</v>
      </c>
      <c r="J460" s="1012">
        <v>0</v>
      </c>
      <c r="K460" s="881">
        <f ca="1">IF(I460&gt;0,J460*100/I460,0)</f>
        <v>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 hidden="1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 hidden="1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IFERROR(__xludf.DUMMYFUNCTION("IMPORTRANGE(""https://docs.google.com/spreadsheets/d/1QqKyyYR6Q21VydFLVH3TRQUabQu_ym0Zz7PgGX0-kHA/edit?usp=sharing"",""แผน!FO78"")"),0)</f>
        <v>0</v>
      </c>
      <c r="J462" s="1012">
        <v>0</v>
      </c>
      <c r="K462" s="881">
        <f ca="1">IF(I462&gt;0,J462*100/I462,0)</f>
        <v>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 hidden="1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IFERROR(__xludf.DUMMYFUNCTION("IMPORTRANGE(""https://docs.google.com/spreadsheets/d/1QqKyyYR6Q21VydFLVH3TRQUabQu_ym0Zz7PgGX0-kHA/edit?usp=sharing"",""แผน!FO78"")"),0)</f>
        <v>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 hidden="1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IFERROR(__xludf.DUMMYFUNCTION("IMPORTRANGE(""https://docs.google.com/spreadsheets/d/1QqKyyYR6Q21VydFLVH3TRQUabQu_ym0Zz7PgGX0-kHA/edit?usp=sharing"",""แผน!FN78"")"),0)</f>
        <v>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IFERROR(__xludf.DUMMYFUNCTION("IMPORTRANGE(""https://docs.google.com/spreadsheets/d/1QqKyyYR6Q21VydFLVH3TRQUabQu_ym0Zz7PgGX0-kHA/edit?usp=sharing"",""แผน!FX78"")"),21)</f>
        <v>21</v>
      </c>
      <c r="J465" s="1310">
        <f>J485+J489+J492</f>
        <v>21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IFERROR(__xludf.DUMMYFUNCTION("IMPORTRANGE(""https://docs.google.com/spreadsheets/d/1QqKyyYR6Q21VydFLVH3TRQUabQu_ym0Zz7PgGX0-kHA/edit?usp=sharing"",""แผน!FW78"")"),200)</f>
        <v>200</v>
      </c>
      <c r="J466" s="1294">
        <f>J495+J498</f>
        <v>0</v>
      </c>
      <c r="K466" s="1295">
        <f t="shared" ca="1" si="205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187163</v>
      </c>
      <c r="M467" s="1020">
        <f t="shared" ca="1" si="206"/>
        <v>187163</v>
      </c>
      <c r="N467" s="1020">
        <f t="shared" si="206"/>
        <v>43314</v>
      </c>
      <c r="O467" s="1020">
        <f t="shared" ref="O467:O472" ca="1" si="207">IF(L467&gt;0,N467*100/L467,0)</f>
        <v>23.14239459722274</v>
      </c>
      <c r="P467" s="1020">
        <f t="shared" ref="P467:P472" ca="1" si="208">IF(M467&gt;0,N467*100/M467,0)</f>
        <v>23.14239459722274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187163</v>
      </c>
      <c r="M469" s="887">
        <f t="shared" ca="1" si="209"/>
        <v>187163</v>
      </c>
      <c r="N469" s="887">
        <f t="shared" si="209"/>
        <v>43314</v>
      </c>
      <c r="O469" s="887">
        <f t="shared" ca="1" si="207"/>
        <v>23.14239459722274</v>
      </c>
      <c r="P469" s="887">
        <f t="shared" ca="1" si="208"/>
        <v>23.14239459722274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187163</v>
      </c>
      <c r="M470" s="881">
        <f t="shared" ca="1" si="210"/>
        <v>187163</v>
      </c>
      <c r="N470" s="881">
        <f t="shared" si="210"/>
        <v>43314</v>
      </c>
      <c r="O470" s="881">
        <f t="shared" ca="1" si="207"/>
        <v>23.14239459722274</v>
      </c>
      <c r="P470" s="881">
        <f t="shared" ca="1" si="208"/>
        <v>23.14239459722274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IFERROR(__xludf.DUMMYFUNCTION("IMPORTRANGE(""https://docs.google.com/spreadsheets/d/1QqKyyYR6Q21VydFLVH3TRQUabQu_ym0Zz7PgGX0-kHA/edit?usp=sharing"",""แผน!FS78"")"),187163)</f>
        <v>187163</v>
      </c>
      <c r="M472" s="887">
        <f ca="1">L472</f>
        <v>187163</v>
      </c>
      <c r="N472" s="887">
        <f>N473+N474+N475+N476</f>
        <v>43314</v>
      </c>
      <c r="O472" s="887">
        <f t="shared" ca="1" si="207"/>
        <v>23.14239459722274</v>
      </c>
      <c r="P472" s="887">
        <f t="shared" ca="1" si="208"/>
        <v>23.14239459722274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f>37823-220</f>
        <v>37603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f>4201+120+360+240+550+240</f>
        <v>5711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IFERROR(__xludf.DUMMYFUNCTION("IMPORTRANGE(""https://docs.google.com/spreadsheets/d/1QqKyyYR6Q21VydFLVH3TRQUabQu_ym0Zz7PgGX0-kHA/edit?usp=sharing"",""แผน!FV78"")"),0)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IFERROR(__xludf.DUMMYFUNCTION("IMPORTRANGE(""https://docs.google.com/spreadsheets/d/1QqKyyYR6Q21VydFLVH3TRQUabQu_ym0Zz7PgGX0-kHA/edit?usp=sharing"",""แผน!FY78"")"),180)</f>
        <v>180</v>
      </c>
      <c r="J483" s="1012">
        <v>0</v>
      </c>
      <c r="K483" s="881">
        <f ca="1">IF(I483&gt;0,J483*100/I483,0)</f>
        <v>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0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IFERROR(__xludf.DUMMYFUNCTION("IMPORTRANGE(""https://docs.google.com/spreadsheets/d/1QqKyyYR6Q21VydFLVH3TRQUabQu_ym0Zz7PgGX0-kHA/edit?usp=sharing"",""แผน!FZ78"")"),18)</f>
        <v>18</v>
      </c>
      <c r="J485" s="1012">
        <v>18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IFERROR(__xludf.DUMMYFUNCTION("IMPORTRANGE(""https://docs.google.com/spreadsheets/d/1QqKyyYR6Q21VydFLVH3TRQUabQu_ym0Zz7PgGX0-kHA/edit?usp=sharing"",""แผน!GA78"")"),20)</f>
        <v>20</v>
      </c>
      <c r="J487" s="1012">
        <v>0</v>
      </c>
      <c r="K487" s="881">
        <f ca="1">IF(I487&gt;0,J487*100/I487,0)</f>
        <v>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0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IFERROR(__xludf.DUMMYFUNCTION("IMPORTRANGE(""https://docs.google.com/spreadsheets/d/1QqKyyYR6Q21VydFLVH3TRQUabQu_ym0Zz7PgGX0-kHA/edit?usp=sharing"",""แผน!GB78"")"),2)</f>
        <v>2</v>
      </c>
      <c r="J489" s="1012">
        <v>2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0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IFERROR(__xludf.DUMMYFUNCTION("IMPORTRANGE(""https://docs.google.com/spreadsheets/d/1QqKyyYR6Q21VydFLVH3TRQUabQu_ym0Zz7PgGX0-kHA/edit?usp=sharing"",""แผน!GC78"")"),1)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IFERROR(__xludf.DUMMYFUNCTION("IMPORTRANGE(""https://docs.google.com/spreadsheets/d/1QqKyyYR6Q21VydFLVH3TRQUabQu_ym0Zz7PgGX0-kHA/edit?usp=sharing"",""แผน!FY78"")"),180)</f>
        <v>180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IFERROR(__xludf.DUMMYFUNCTION("IMPORTRANGE(""https://docs.google.com/spreadsheets/d/1QqKyyYR6Q21VydFLVH3TRQUabQu_ym0Zz7PgGX0-kHA/edit?usp=sharing"",""แผน!GA78"")"),20)</f>
        <v>20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0</v>
      </c>
      <c r="J522" s="1377">
        <f t="shared" ca="1" si="225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0</v>
      </c>
      <c r="M523" s="1020">
        <f t="shared" si="226"/>
        <v>0</v>
      </c>
      <c r="N523" s="1020">
        <f t="shared" si="226"/>
        <v>0</v>
      </c>
      <c r="O523" s="1020">
        <f t="shared" ref="O523:O528" ca="1" si="227">IF(L523&gt;0,N523*100/L523,0)</f>
        <v>0</v>
      </c>
      <c r="P523" s="1020">
        <f t="shared" ref="P523:P528" si="228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0</v>
      </c>
      <c r="M525" s="887">
        <f t="shared" si="229"/>
        <v>0</v>
      </c>
      <c r="N525" s="887">
        <f t="shared" si="229"/>
        <v>0</v>
      </c>
      <c r="O525" s="887">
        <f t="shared" ca="1" si="227"/>
        <v>0</v>
      </c>
      <c r="P525" s="887">
        <f t="shared" si="228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0</v>
      </c>
      <c r="M526" s="881">
        <f t="shared" si="230"/>
        <v>0</v>
      </c>
      <c r="N526" s="881">
        <f t="shared" si="230"/>
        <v>0</v>
      </c>
      <c r="O526" s="881">
        <f t="shared" ca="1" si="227"/>
        <v>0</v>
      </c>
      <c r="P526" s="881">
        <f t="shared" si="228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IFERROR(__xludf.DUMMYFUNCTION("IMPORTRANGE(""https://docs.google.com/spreadsheets/d/1QqKyyYR6Q21VydFLVH3TRQUabQu_ym0Zz7PgGX0-kHA/edit?usp=sharing"",""แผน!GQ78"")"),0)</f>
        <v>0</v>
      </c>
      <c r="M528" s="887">
        <v>0</v>
      </c>
      <c r="N528" s="887">
        <f>N529+N530+N531+N532</f>
        <v>0</v>
      </c>
      <c r="O528" s="887">
        <f t="shared" ca="1" si="227"/>
        <v>0</v>
      </c>
      <c r="P528" s="887">
        <f t="shared" si="228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IFERROR(__xludf.DUMMYFUNCTION("IMPORTRANGE(""https://docs.google.com/spreadsheets/d/1QqKyyYR6Q21VydFLVH3TRQUabQu_ym0Zz7PgGX0-kHA/edit?usp=sharing"",""แผน!GT78"")"),0)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IFERROR(__xludf.DUMMYFUNCTION("IMPORTRANGE(""https://docs.google.com/spreadsheets/d/1QqKyyYR6Q21VydFLVH3TRQUabQu_ym0Zz7PgGX0-kHA/edit?usp=sharing"",""แผน!GU78"")"),0)</f>
        <v>0</v>
      </c>
      <c r="J537" s="1019">
        <f ca="1">IF(AND(J538=I538,J539=I539,J540=I540,J541=I541),I537,0)</f>
        <v>0</v>
      </c>
      <c r="K537" s="881">
        <f t="shared" ref="K537:K543" ca="1" si="234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IFERROR(__xludf.DUMMYFUNCTION("IMPORTRANGE(""https://docs.google.com/spreadsheets/d/1QqKyyYR6Q21VydFLVH3TRQUabQu_ym0Zz7PgGX0-kHA/edit?usp=sharing"",""แผน!GV78"")"),0)</f>
        <v>0</v>
      </c>
      <c r="J538" s="1012">
        <v>0</v>
      </c>
      <c r="K538" s="881">
        <f t="shared" ca="1" si="234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IFERROR(__xludf.DUMMYFUNCTION("IMPORTRANGE(""https://docs.google.com/spreadsheets/d/1QqKyyYR6Q21VydFLVH3TRQUabQu_ym0Zz7PgGX0-kHA/edit?usp=sharing"",""แผน!GW78"")"),0)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IFERROR(__xludf.DUMMYFUNCTION("IMPORTRANGE(""https://docs.google.com/spreadsheets/d/1QqKyyYR6Q21VydFLVH3TRQUabQu_ym0Zz7PgGX0-kHA/edit?usp=sharing"",""แผน!GX78"")"),0)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IFERROR(__xludf.DUMMYFUNCTION("IMPORTRANGE(""https://docs.google.com/spreadsheets/d/1QqKyyYR6Q21VydFLVH3TRQUabQu_ym0Zz7PgGX0-kHA/edit?usp=sharing"",""แผน!GY78"")"),0)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IFERROR(__xludf.DUMMYFUNCTION("IMPORTRANGE(""https://docs.google.com/spreadsheets/d/1QqKyyYR6Q21VydFLVH3TRQUabQu_ym0Zz7PgGX0-kHA/edit?usp=sharing"",""แผน!GZ78"")"),0)</f>
        <v>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29942</v>
      </c>
      <c r="J543" s="1384">
        <f t="shared" si="235"/>
        <v>0</v>
      </c>
      <c r="K543" s="1385">
        <f t="shared" ca="1" si="234"/>
        <v>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305575</v>
      </c>
      <c r="M544" s="992">
        <f t="shared" ca="1" si="236"/>
        <v>305575</v>
      </c>
      <c r="N544" s="992">
        <f t="shared" si="236"/>
        <v>167175.18</v>
      </c>
      <c r="O544" s="992">
        <f t="shared" ref="O544:O549" ca="1" si="237">IF(L544&gt;0,N544*100/L544,0)</f>
        <v>54.7083956475497</v>
      </c>
      <c r="P544" s="992">
        <f t="shared" ref="P544:P549" ca="1" si="238">IF(M544&gt;0,N544*100/M544,0)</f>
        <v>54.7083956475497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305575</v>
      </c>
      <c r="M546" s="887">
        <f t="shared" ca="1" si="240"/>
        <v>305575</v>
      </c>
      <c r="N546" s="887">
        <f t="shared" si="240"/>
        <v>167175.18</v>
      </c>
      <c r="O546" s="887">
        <f t="shared" ca="1" si="237"/>
        <v>54.7083956475497</v>
      </c>
      <c r="P546" s="887">
        <f t="shared" ca="1" si="238"/>
        <v>54.7083956475497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305575</v>
      </c>
      <c r="M547" s="881">
        <f t="shared" ca="1" si="241"/>
        <v>305575</v>
      </c>
      <c r="N547" s="881">
        <f t="shared" si="241"/>
        <v>167175.18</v>
      </c>
      <c r="O547" s="881">
        <f t="shared" ca="1" si="237"/>
        <v>54.7083956475497</v>
      </c>
      <c r="P547" s="881">
        <f t="shared" ca="1" si="238"/>
        <v>54.7083956475497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IFERROR(__xludf.DUMMYFUNCTION("IMPORTRANGE(""https://docs.google.com/spreadsheets/d/1QqKyyYR6Q21VydFLVH3TRQUabQu_ym0Zz7PgGX0-kHA/edit?usp=sharing"",""แผน!HB78"")"),305575)</f>
        <v>305575</v>
      </c>
      <c r="M549" s="887">
        <f ca="1">L549</f>
        <v>305575</v>
      </c>
      <c r="N549" s="887">
        <f>N550+N551+N552+N553+N554</f>
        <v>167175.18</v>
      </c>
      <c r="O549" s="887">
        <f t="shared" ca="1" si="237"/>
        <v>54.7083956475497</v>
      </c>
      <c r="P549" s="887">
        <f t="shared" ca="1" si="238"/>
        <v>54.7083956475497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f>(25460-3500)+3480+202.5</f>
        <v>25642.5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f>18230+8120</f>
        <v>26350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f>12566.67+12566.67+12566.67+12566.67+13000</f>
        <v>63266.68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f>4533+3508+17583+432+2240+1820+3380+1220+1920+1220+10760+3300</f>
        <v>51916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IFERROR(__xludf.DUMMYFUNCTION("IMPORTRANGE(""https://docs.google.com/spreadsheets/d/1QqKyyYR6Q21VydFLVH3TRQUabQu_ym0Zz7PgGX0-kHA/edit?usp=sharing"",""แผน!HF78"")"),0)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29942</v>
      </c>
      <c r="J559" s="1377">
        <f t="shared" si="245"/>
        <v>0</v>
      </c>
      <c r="K559" s="1378">
        <f t="shared" ref="K559:K561" ca="1" si="246">IF(I559&gt;0,J559*100/I559,0)</f>
        <v>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IFERROR(__xludf.DUMMYFUNCTION("IMPORTRANGE(""https://docs.google.com/spreadsheets/d/1QqKyyYR6Q21VydFLVH3TRQUabQu_ym0Zz7PgGX0-kHA/edit?usp=sharing"",""แผน!HH78"")"),29942)</f>
        <v>29942</v>
      </c>
      <c r="J560" s="1018">
        <f t="shared" ref="J560:J561" si="247">J562+J564+J566</f>
        <v>29942</v>
      </c>
      <c r="K560" s="1162">
        <f t="shared" ca="1" si="246"/>
        <v>100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IFERROR(__xludf.DUMMYFUNCTION("IMPORTRANGE(""https://docs.google.com/spreadsheets/d/1QqKyyYR6Q21VydFLVH3TRQUabQu_ym0Zz7PgGX0-kHA/edit?usp=sharing"",""แผน!HG78"")"),3752)</f>
        <v>3752</v>
      </c>
      <c r="J561" s="1018">
        <f t="shared" si="247"/>
        <v>3752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25831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3325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3753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375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358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52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IFERROR(__xludf.DUMMYFUNCTION("IMPORTRANGE(""https://docs.google.com/spreadsheets/d/1QqKyyYR6Q21VydFLVH3TRQUabQu_ym0Zz7PgGX0-kHA/edit?usp=sharing"",""แผน!HH78"")"),29942)</f>
        <v>29942</v>
      </c>
      <c r="J568" s="1019">
        <f t="shared" ref="J568:J569" si="248">J570+J572+J574</f>
        <v>29942</v>
      </c>
      <c r="K568" s="1162">
        <f t="shared" ref="K568:K569" ca="1" si="249">IF(I568&gt;0,J568*100/I568,0)</f>
        <v>100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IFERROR(__xludf.DUMMYFUNCTION("IMPORTRANGE(""https://docs.google.com/spreadsheets/d/1QqKyyYR6Q21VydFLVH3TRQUabQu_ym0Zz7PgGX0-kHA/edit?usp=sharing"",""แผน!HG78"")"),3752)</f>
        <v>3752</v>
      </c>
      <c r="J569" s="1019">
        <f t="shared" si="248"/>
        <v>3752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25782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3314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3802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386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358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52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IFERROR(__xludf.DUMMYFUNCTION("IMPORTRANGE(""https://docs.google.com/spreadsheets/d/1QqKyyYR6Q21VydFLVH3TRQUabQu_ym0Zz7PgGX0-kHA/edit?usp=sharing"",""แผน!HH78"")"),29942)</f>
        <v>29942</v>
      </c>
      <c r="J576" s="1019">
        <f t="shared" ref="J576:J577" si="250">J578+J580+J582+J588+J590</f>
        <v>0</v>
      </c>
      <c r="K576" s="1162">
        <f t="shared" ref="K576:K577" ca="1" si="251">IF(I576&gt;0,J576*100/I576,0)</f>
        <v>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IFERROR(__xludf.DUMMYFUNCTION("IMPORTRANGE(""https://docs.google.com/spreadsheets/d/1QqKyyYR6Q21VydFLVH3TRQUabQu_ym0Zz7PgGX0-kHA/edit?usp=sharing"",""แผน!HG78"")"),3752)</f>
        <v>3752</v>
      </c>
      <c r="J577" s="1019">
        <f t="shared" si="250"/>
        <v>0</v>
      </c>
      <c r="K577" s="1162">
        <f t="shared" ca="1" si="251"/>
        <v>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0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0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0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0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0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0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179.63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IFERROR(__xludf.DUMMYFUNCTION("IMPORTRANGE(""https://docs.google.com/spreadsheets/d/1QqKyyYR6Q21VydFLVH3TRQUabQu_ym0Zz7PgGX0-kHA/edit?usp=sharing"",""แผน!HJ78"")"),179.63)</f>
        <v>179.63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IFERROR(__xludf.DUMMYFUNCTION("IMPORTRANGE(""https://docs.google.com/spreadsheets/d/1QqKyyYR6Q21VydFLVH3TRQUabQu_ym0Zz7PgGX0-kHA/edit?usp=sharing"",""แผน!HI78"")"),36)</f>
        <v>36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IFERROR(__xludf.DUMMYFUNCTION("IMPORTRANGE(""https://docs.google.com/spreadsheets/d/1QqKyyYR6Q21VydFLVH3TRQUabQu_ym0Zz7PgGX0-kHA/edit?usp=sharing"",""แผน!HL78"")"),8)</f>
        <v>8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IFERROR(__xludf.DUMMYFUNCTION("IMPORTRANGE(""https://docs.google.com/spreadsheets/d/1QqKyyYR6Q21VydFLVH3TRQUabQu_ym0Zz7PgGX0-kHA/edit?usp=sharing"",""แผน!HK78"")"),2)</f>
        <v>2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40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221445</v>
      </c>
      <c r="M629" s="1020">
        <f t="shared" ca="1" si="263"/>
        <v>221445</v>
      </c>
      <c r="N629" s="1020">
        <f t="shared" si="263"/>
        <v>2350</v>
      </c>
      <c r="O629" s="1020">
        <f t="shared" ref="O629:O634" ca="1" si="264">IF(L629&gt;0,N629*100/L629,0)</f>
        <v>1.0612115875273771</v>
      </c>
      <c r="P629" s="1020">
        <f t="shared" ref="P629:P634" ca="1" si="265">IF(M629&gt;0,N629*100/M629,0)</f>
        <v>1.0612115875273771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221445</v>
      </c>
      <c r="M631" s="887">
        <f t="shared" ca="1" si="266"/>
        <v>221445</v>
      </c>
      <c r="N631" s="887">
        <f t="shared" si="266"/>
        <v>2350</v>
      </c>
      <c r="O631" s="887">
        <f t="shared" ca="1" si="264"/>
        <v>1.0612115875273771</v>
      </c>
      <c r="P631" s="887">
        <f t="shared" ca="1" si="265"/>
        <v>1.0612115875273771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221445</v>
      </c>
      <c r="M632" s="881">
        <f t="shared" ca="1" si="267"/>
        <v>221445</v>
      </c>
      <c r="N632" s="881">
        <f t="shared" si="267"/>
        <v>2350</v>
      </c>
      <c r="O632" s="881">
        <f t="shared" ca="1" si="264"/>
        <v>1.0612115875273771</v>
      </c>
      <c r="P632" s="881">
        <f t="shared" ca="1" si="265"/>
        <v>1.0612115875273771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IFERROR(__xludf.DUMMYFUNCTION("IMPORTRANGE(""https://docs.google.com/spreadsheets/d/1QqKyyYR6Q21VydFLVH3TRQUabQu_ym0Zz7PgGX0-kHA/edit?usp=sharing"",""แผน!HN78"")"),221445)</f>
        <v>221445</v>
      </c>
      <c r="M634" s="887">
        <f ca="1">L634</f>
        <v>221445</v>
      </c>
      <c r="N634" s="887">
        <f>N635+N636+N637+N638</f>
        <v>2350</v>
      </c>
      <c r="O634" s="887">
        <f t="shared" ca="1" si="264"/>
        <v>1.0612115875273771</v>
      </c>
      <c r="P634" s="887">
        <f t="shared" ca="1" si="265"/>
        <v>1.0612115875273771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2350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IFERROR(__xludf.DUMMYFUNCTION("IMPORTRANGE(""https://docs.google.com/spreadsheets/d/1QqKyyYR6Q21VydFLVH3TRQUabQu_ym0Zz7PgGX0-kHA/edit?usp=sharing"",""แผน!HQ78"")"),0)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IFERROR(__xludf.DUMMYFUNCTION("IMPORTRANGE(""https://docs.google.com/spreadsheets/d/1QqKyyYR6Q21VydFLVH3TRQUabQu_ym0Zz7PgGX0-kHA/edit?usp=sharing"",""แผน!HR78"")"),1)</f>
        <v>1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IFERROR(__xludf.DUMMYFUNCTION("IMPORTRANGE(""https://docs.google.com/spreadsheets/d/1QqKyyYR6Q21VydFLVH3TRQUabQu_ym0Zz7PgGX0-kHA/edit?usp=sharing"",""แผน!HR78"")"),1)</f>
        <v>1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IFERROR(__xludf.DUMMYFUNCTION("IMPORTRANGE(""https://docs.google.com/spreadsheets/d/1XWAQStnk-4SwqDmLtmXYiTMKHgktTP8We1SCoS47DrQ/edit?usp=sharing"",""จัดที่ดิน!AS78"")"),0)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IFERROR(__xludf.DUMMYFUNCTION("IMPORTRANGE(""https://docs.google.com/spreadsheets/d/1XWAQStnk-4SwqDmLtmXYiTMKHgktTP8We1SCoS47DrQ/edit?usp=sharing"",""จัดที่ดิน!AT78"")"),0)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IFERROR(__xludf.DUMMYFUNCTION("IMPORTRANGE(""https://docs.google.com/spreadsheets/d/1QqKyyYR6Q21VydFLVH3TRQUabQu_ym0Zz7PgGX0-kHA/edit?usp=sharing"",""แผน!HS78"")"),40)</f>
        <v>40</v>
      </c>
      <c r="J647" s="880">
        <f ca="1">IFERROR(__xludf.DUMMYFUNCTION("IMPORTRANGE(""https://docs.google.com/spreadsheets/d/1XWAQStnk-4SwqDmLtmXYiTMKHgktTP8We1SCoS47DrQ/edit?usp=sharing"",""จัดที่ดิน!AU78"")"),0)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IFERROR(__xludf.DUMMYFUNCTION("IMPORTRANGE(""https://docs.google.com/spreadsheets/d/1XWAQStnk-4SwqDmLtmXYiTMKHgktTP8We1SCoS47DrQ/edit?usp=sharing"",""จัดที่ดิน!AV78"")"),0)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IFERROR(__xludf.DUMMYFUNCTION("IMPORTRANGE(""https://docs.google.com/spreadsheets/d/1QqKyyYR6Q21VydFLVH3TRQUabQu_ym0Zz7PgGX0-kHA/edit?usp=sharing"",""แผน!HS78"")"),40)</f>
        <v>40</v>
      </c>
      <c r="J649" s="880">
        <f ca="1">IFERROR(__xludf.DUMMYFUNCTION("IMPORTRANGE(""https://docs.google.com/spreadsheets/d/1XWAQStnk-4SwqDmLtmXYiTMKHgktTP8We1SCoS47DrQ/edit?usp=sharing"",""จัดที่ดิน!AW78"")"),0)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IFERROR(__xludf.DUMMYFUNCTION("IMPORTRANGE(""https://docs.google.com/spreadsheets/d/1XWAQStnk-4SwqDmLtmXYiTMKHgktTP8We1SCoS47DrQ/edit?usp=sharing"",""จัดที่ดิน!AX78"")"),0)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IFERROR(__xludf.DUMMYFUNCTION("IMPORTRANGE(""https://docs.google.com/spreadsheets/d/1QqKyyYR6Q21VydFLVH3TRQUabQu_ym0Zz7PgGX0-kHA/edit?usp=sharing"",""แผน!HS78"")"),40)</f>
        <v>40</v>
      </c>
      <c r="J651" s="880">
        <f ca="1">IFERROR(__xludf.DUMMYFUNCTION("IMPORTRANGE(""https://docs.google.com/spreadsheets/d/1XWAQStnk-4SwqDmLtmXYiTMKHgktTP8We1SCoS47DrQ/edit?usp=sharing"",""จัดที่ดิน!AY78"")"),0)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IFERROR(__xludf.DUMMYFUNCTION("IMPORTRANGE(""https://docs.google.com/spreadsheets/d/1XWAQStnk-4SwqDmLtmXYiTMKHgktTP8We1SCoS47DrQ/edit?usp=sharing"",""จัดที่ดิน!AZ78"")"),0)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 hidden="1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0</v>
      </c>
      <c r="M655" s="1020">
        <f t="shared" si="273"/>
        <v>0</v>
      </c>
      <c r="N655" s="1020">
        <f t="shared" si="273"/>
        <v>0</v>
      </c>
      <c r="O655" s="1020">
        <f t="shared" ref="O655:O660" ca="1" si="274">IF(L655&gt;0,N655*100/L655,0)</f>
        <v>0</v>
      </c>
      <c r="P655" s="1020">
        <f t="shared" ref="P655:P660" si="275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0</v>
      </c>
      <c r="M657" s="887">
        <f t="shared" si="276"/>
        <v>0</v>
      </c>
      <c r="N657" s="887">
        <f t="shared" si="276"/>
        <v>0</v>
      </c>
      <c r="O657" s="887">
        <f t="shared" ca="1" si="274"/>
        <v>0</v>
      </c>
      <c r="P657" s="887">
        <f t="shared" si="275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0</v>
      </c>
      <c r="M658" s="881">
        <f t="shared" si="277"/>
        <v>0</v>
      </c>
      <c r="N658" s="881">
        <f t="shared" si="277"/>
        <v>0</v>
      </c>
      <c r="O658" s="881">
        <f t="shared" ca="1" si="274"/>
        <v>0</v>
      </c>
      <c r="P658" s="881">
        <f t="shared" si="275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IFERROR(__xludf.DUMMYFUNCTION("IMPORTRANGE(""https://docs.google.com/spreadsheets/d/1QqKyyYR6Q21VydFLVH3TRQUabQu_ym0Zz7PgGX0-kHA/edit?usp=sharing"",""แผน!HV78"")"),0)</f>
        <v>0</v>
      </c>
      <c r="M660" s="887">
        <v>0</v>
      </c>
      <c r="N660" s="887">
        <f>N661+N662+N663+N664</f>
        <v>0</v>
      </c>
      <c r="O660" s="887">
        <f t="shared" ca="1" si="274"/>
        <v>0</v>
      </c>
      <c r="P660" s="887">
        <f t="shared" si="275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IFERROR(__xludf.DUMMYFUNCTION("IMPORTRANGE(""https://docs.google.com/spreadsheets/d/1QqKyyYR6Q21VydFLVH3TRQUabQu_ym0Zz7PgGX0-kHA/edit?usp=sharing"",""แผน!IA78"")"),0)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IFERROR(__xludf.DUMMYFUNCTION("IMPORTRANGE(""https://docs.google.com/spreadsheets/d/1QqKyyYR6Q21VydFLVH3TRQUabQu_ym0Zz7PgGX0-kHA/edit?usp=sharing"",""แผน!HZ78"")"),0)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IFERROR(__xludf.DUMMYFUNCTION("IMPORTRANGE(""https://docs.google.com/spreadsheets/d/1QqKyyYR6Q21VydFLVH3TRQUabQu_ym0Zz7PgGX0-kHA/edit?usp=sharing"",""แผน!HZ78"")"),0)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IFERROR(__xludf.DUMMYFUNCTION("IMPORTRANGE(""https://docs.google.com/spreadsheets/d/1QqKyyYR6Q21VydFLVH3TRQUabQu_ym0Zz7PgGX0-kHA/edit?usp=sharing"",""แผน!IB78"")"),0)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IFERROR(__xludf.DUMMYFUNCTION("IMPORTRANGE(""https://docs.google.com/spreadsheets/d/1QqKyyYR6Q21VydFLVH3TRQUabQu_ym0Zz7PgGX0-kHA/edit?usp=sharing"",""แผน!HW78"")"),0)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IFERROR(__xludf.DUMMYFUNCTION("IMPORTRANGE(""https://docs.google.com/spreadsheets/d/1QqKyyYR6Q21VydFLVH3TRQUabQu_ym0Zz7PgGX0-kHA/edit?usp=sharing"",""แผน!IC78"")"),0)</f>
        <v>0</v>
      </c>
      <c r="J699" s="880">
        <f ca="1">IFERROR(__xludf.DUMMYFUNCTION("IMPORTRANGE(""https://docs.google.com/spreadsheets/d/1XWAQStnk-4SwqDmLtmXYiTMKHgktTP8We1SCoS47DrQ/edit?usp=sharing"",""จัดที่ดิน!BB78"")"),0)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IFERROR(__xludf.DUMMYFUNCTION("IMPORTRANGE(""https://docs.google.com/spreadsheets/d/1QqKyyYR6Q21VydFLVH3TRQUabQu_ym0Zz7PgGX0-kHA/edit?usp=sharing"",""แผน!ID78"")"),0)</f>
        <v>0</v>
      </c>
      <c r="J700" s="880">
        <f ca="1">IFERROR(__xludf.DUMMYFUNCTION("IMPORTRANGE(""https://docs.google.com/spreadsheets/d/1XWAQStnk-4SwqDmLtmXYiTMKHgktTP8We1SCoS47DrQ/edit?usp=sharing"",""จัดที่ดิน!BD78"")"),0)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IFERROR(__xludf.DUMMYFUNCTION("IMPORTRANGE(""https://docs.google.com/spreadsheets/d/1QqKyyYR6Q21VydFLVH3TRQUabQu_ym0Zz7PgGX0-kHA/edit?usp=sharing"",""แผน!IE78"")"),0)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IFERROR(__xludf.DUMMYFUNCTION("IMPORTRANGE(""https://docs.google.com/spreadsheets/d/1QqKyyYR6Q21VydFLVH3TRQUabQu_ym0Zz7PgGX0-kHA/edit?usp=sharing"",""แผน!IF78"")"),0)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IFERROR(__xludf.DUMMYFUNCTION("IMPORTRANGE(""https://docs.google.com/spreadsheets/d/1QqKyyYR6Q21VydFLVH3TRQUabQu_ym0Zz7PgGX0-kHA/edit?usp=sharing"",""แผน!IG78"")"),0)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IFERROR(__xludf.DUMMYFUNCTION("IMPORTRANGE(""https://docs.google.com/spreadsheets/d/1QqKyyYR6Q21VydFLVH3TRQUabQu_ym0Zz7PgGX0-kHA/edit?usp=sharing"",""แผน!IH78"")"),0)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IFERROR(__xludf.DUMMYFUNCTION("IMPORTRANGE(""https://docs.google.com/spreadsheets/d/1XWAQStnk-4SwqDmLtmXYiTMKHgktTP8We1SCoS47DrQ/edit?usp=sharing"",""จัดที่ดิน!BF78"")"),0)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IFERROR(__xludf.DUMMYFUNCTION("IMPORTRANGE(""https://docs.google.com/spreadsheets/d/1XWAQStnk-4SwqDmLtmXYiTMKHgktTP8We1SCoS47DrQ/edit?usp=sharing"",""จัดที่ดิน!BG78"")"),0)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IFERROR(__xludf.DUMMYFUNCTION("IMPORTRANGE(""https://docs.google.com/spreadsheets/d/1QqKyyYR6Q21VydFLVH3TRQUabQu_ym0Zz7PgGX0-kHA/edit?usp=sharing"",""แผน!II78"")"),0)</f>
        <v>0</v>
      </c>
      <c r="J720" s="880">
        <f ca="1">IFERROR(__xludf.DUMMYFUNCTION("IMPORTRANGE(""https://docs.google.com/spreadsheets/d/1XWAQStnk-4SwqDmLtmXYiTMKHgktTP8We1SCoS47DrQ/edit?usp=sharing"",""จัดที่ดิน!BH78"")"),0)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IFERROR(__xludf.DUMMYFUNCTION("IMPORTRANGE(""https://docs.google.com/spreadsheets/d/1QqKyyYR6Q21VydFLVH3TRQUabQu_ym0Zz7PgGX0-kHA/edit?usp=sharing"",""แผน!IJ78"")"),0)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IFERROR(__xludf.DUMMYFUNCTION("IMPORTRANGE(""https://docs.google.com/spreadsheets/d/1QqKyyYR6Q21VydFLVH3TRQUabQu_ym0Zz7PgGX0-kHA/edit?usp=sharing"",""แผน!IK78"")"),0)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IFERROR(__xludf.DUMMYFUNCTION("IMPORTRANGE(""https://docs.google.com/spreadsheets/d/1QqKyyYR6Q21VydFLVH3TRQUabQu_ym0Zz7PgGX0-kHA/edit?usp=sharing"",""แผน!IL78"")"),0)</f>
        <v>0</v>
      </c>
      <c r="J723" s="880">
        <f ca="1">IFERROR(__xludf.DUMMYFUNCTION("IMPORTRANGE(""https://docs.google.com/spreadsheets/d/1XWAQStnk-4SwqDmLtmXYiTMKHgktTP8We1SCoS47DrQ/edit?usp=sharing"",""จัดที่ดิน!BM78"")"),0)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IFERROR(__xludf.DUMMYFUNCTION("IMPORTRANGE(""https://docs.google.com/spreadsheets/d/1XWAQStnk-4SwqDmLtmXYiTMKHgktTP8We1SCoS47DrQ/edit?usp=sharing"",""จัดที่ดิน!BN78"")"),0)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IFERROR(__xludf.DUMMYFUNCTION("IMPORTRANGE(""https://docs.google.com/spreadsheets/d/1QqKyyYR6Q21VydFLVH3TRQUabQu_ym0Zz7PgGX0-kHA/edit?usp=sharing"",""แผน!IM78"")"),0)</f>
        <v>0</v>
      </c>
      <c r="J725" s="880">
        <f ca="1">IFERROR(__xludf.DUMMYFUNCTION("IMPORTRANGE(""https://docs.google.com/spreadsheets/d/1XWAQStnk-4SwqDmLtmXYiTMKHgktTP8We1SCoS47DrQ/edit?usp=sharing"",""จัดที่ดิน!BO78"")"),0)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IFERROR(__xludf.DUMMYFUNCTION("IMPORTRANGE(""https://docs.google.com/spreadsheets/d/1QqKyyYR6Q21VydFLVH3TRQUabQu_ym0Zz7PgGX0-kHA/edit?usp=sharing"",""แผน!IN78"")"),0)</f>
        <v>0</v>
      </c>
      <c r="J726" s="880">
        <f ca="1">IFERROR(__xludf.DUMMYFUNCTION("IMPORTRANGE(""https://docs.google.com/spreadsheets/d/1XWAQStnk-4SwqDmLtmXYiTMKHgktTP8We1SCoS47DrQ/edit?usp=sharing"",""จัดที่ดิน!BR78"")"),0)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IFERROR(__xludf.DUMMYFUNCTION("IMPORTRANGE(""https://docs.google.com/spreadsheets/d/1XWAQStnk-4SwqDmLtmXYiTMKHgktTP8We1SCoS47DrQ/edit?usp=sharing"",""จัดที่ดิน!BS78"")"),0)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IFERROR(__xludf.DUMMYFUNCTION("IMPORTRANGE(""https://docs.google.com/spreadsheets/d/1QqKyyYR6Q21VydFLVH3TRQUabQu_ym0Zz7PgGX0-kHA/edit?usp=sharing"",""แผน!IO78"")"),0)</f>
        <v>0</v>
      </c>
      <c r="J728" s="880">
        <f ca="1">IFERROR(__xludf.DUMMYFUNCTION("IMPORTRANGE(""https://docs.google.com/spreadsheets/d/1XWAQStnk-4SwqDmLtmXYiTMKHgktTP8We1SCoS47DrQ/edit?usp=sharing"",""จัดที่ดิน!BT78"")"),0)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IFERROR(__xludf.DUMMYFUNCTION("IMPORTRANGE(""https://docs.google.com/spreadsheets/d/1QqKyyYR6Q21VydFLVH3TRQUabQu_ym0Zz7PgGX0-kHA/edit?usp=sharing"",""แผน!IP78"")"),0)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IFERROR(__xludf.DUMMYFUNCTION("IMPORTRANGE(""https://docs.google.com/spreadsheets/d/1QqKyyYR6Q21VydFLVH3TRQUabQu_ym0Zz7PgGX0-kHA/edit?usp=sharing"",""แผน!JJ78"")"),0)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IFERROR(__xludf.DUMMYFUNCTION("IMPORTRANGE(""https://docs.google.com/spreadsheets/d/1QqKyyYR6Q21VydFLVH3TRQUabQu_ym0Zz7PgGX0-kHA/edit?usp=sharing"",""แผน!JN78"")"),0)</f>
        <v>0</v>
      </c>
      <c r="J800" s="997">
        <f ca="1">IFERROR(__xludf.DUMMYFUNCTION("IMPORTRANGE(""https://docs.google.com/spreadsheets/d/1MaWodYyGHDf7siQLGxnXhG4mBNTNIuy296niS2xXulU/edit?usp=sharing"",""RTK!H78"")"),0)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IFERROR(__xludf.DUMMYFUNCTION("IMPORTRANGE(""https://docs.google.com/spreadsheets/d/1MaWodYyGHDf7siQLGxnXhG4mBNTNIuy296niS2xXulU/edit?usp=sharing"",""RTK!I78"")"),0)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>
        <v>0</v>
      </c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>
        <v>0</v>
      </c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334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IFERROR(__xludf.DUMMYFUNCTION("IMPORTRANGE(""https://docs.google.com/spreadsheets/d/19vJNZY_5yjcGF2XGBMNZRCAIB0Kwfpjp8YEOfu-bneM/edit?usp=sharing"",""งานกองทุน!D78"")"),2828251.92)</f>
        <v>2828251.92</v>
      </c>
      <c r="J821" s="880">
        <f ca="1">IFERROR(__xludf.DUMMYFUNCTION("IMPORTRANGE(""https://docs.google.com/spreadsheets/d/19vJNZY_5yjcGF2XGBMNZRCAIB0Kwfpjp8YEOfu-bneM/edit?usp=sharing"",""งานกองทุน!F78"")"),840875.96)</f>
        <v>840875.96</v>
      </c>
      <c r="K821" s="881">
        <f t="shared" ref="K821:K828" ca="1" si="335">IF(I821&gt;0,J821*100/I821,0)</f>
        <v>29.731296354958367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IFERROR(__xludf.DUMMYFUNCTION("IMPORTRANGE(""https://docs.google.com/spreadsheets/d/19vJNZY_5yjcGF2XGBMNZRCAIB0Kwfpjp8YEOfu-bneM/edit?usp=sharing"",""งานกองทุน!C78"")"),178)</f>
        <v>178</v>
      </c>
      <c r="J822" s="880">
        <f ca="1">IFERROR(__xludf.DUMMYFUNCTION("IMPORTRANGE(""https://docs.google.com/spreadsheets/d/19vJNZY_5yjcGF2XGBMNZRCAIB0Kwfpjp8YEOfu-bneM/edit?usp=sharing"",""งานกองทุน!E78"")"),61)</f>
        <v>61</v>
      </c>
      <c r="K822" s="881">
        <f t="shared" ca="1" si="335"/>
        <v>34.269662921348313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IFERROR(__xludf.DUMMYFUNCTION("IMPORTRANGE(""https://docs.google.com/spreadsheets/d/19vJNZY_5yjcGF2XGBMNZRCAIB0Kwfpjp8YEOfu-bneM/edit?usp=sharing"",""งานกองทุน!I78"")"),2053041.08)</f>
        <v>2053041.08</v>
      </c>
      <c r="J823" s="880">
        <f ca="1">IFERROR(__xludf.DUMMYFUNCTION("IMPORTRANGE(""https://docs.google.com/spreadsheets/d/19vJNZY_5yjcGF2XGBMNZRCAIB0Kwfpjp8YEOfu-bneM/edit?usp=sharing"",""งานกองทุน!K78"")"),418303.66)</f>
        <v>418303.66</v>
      </c>
      <c r="K823" s="881">
        <f t="shared" ca="1" si="335"/>
        <v>20.37483146708394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IFERROR(__xludf.DUMMYFUNCTION("IMPORTRANGE(""https://docs.google.com/spreadsheets/d/19vJNZY_5yjcGF2XGBMNZRCAIB0Kwfpjp8YEOfu-bneM/edit?usp=sharing"",""งานกองทุน!H78"")"),93)</f>
        <v>93</v>
      </c>
      <c r="J824" s="880">
        <f ca="1">IFERROR(__xludf.DUMMYFUNCTION("IMPORTRANGE(""https://docs.google.com/spreadsheets/d/19vJNZY_5yjcGF2XGBMNZRCAIB0Kwfpjp8YEOfu-bneM/edit?usp=sharing"",""งานกองทุน!J78"")"),69)</f>
        <v>69</v>
      </c>
      <c r="K824" s="881">
        <f t="shared" ca="1" si="335"/>
        <v>74.193548387096769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IFERROR(__xludf.DUMMYFUNCTION("IMPORTRANGE(""https://docs.google.com/spreadsheets/d/19vJNZY_5yjcGF2XGBMNZRCAIB0Kwfpjp8YEOfu-bneM/edit?usp=sharing"",""งานกองทุน!N78"")"),0)</f>
        <v>0</v>
      </c>
      <c r="J825" s="880">
        <f ca="1">IFERROR(__xludf.DUMMYFUNCTION("IMPORTRANGE(""https://docs.google.com/spreadsheets/d/19vJNZY_5yjcGF2XGBMNZRCAIB0Kwfpjp8YEOfu-bneM/edit?usp=sharing"",""งานกองทุน!P78"")"),0)</f>
        <v>0</v>
      </c>
      <c r="K825" s="881">
        <f t="shared" ca="1" si="335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IFERROR(__xludf.DUMMYFUNCTION("IMPORTRANGE(""https://docs.google.com/spreadsheets/d/19vJNZY_5yjcGF2XGBMNZRCAIB0Kwfpjp8YEOfu-bneM/edit?usp=sharing"",""งานกองทุน!M78"")"),0)</f>
        <v>0</v>
      </c>
      <c r="J826" s="880">
        <f ca="1">IFERROR(__xludf.DUMMYFUNCTION("IMPORTRANGE(""https://docs.google.com/spreadsheets/d/19vJNZY_5yjcGF2XGBMNZRCAIB0Kwfpjp8YEOfu-bneM/edit?usp=sharing"",""งานกองทุน!O78"")"),0)</f>
        <v>0</v>
      </c>
      <c r="K826" s="881">
        <f t="shared" ca="1" si="335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IFERROR(__xludf.DUMMYFUNCTION("IMPORTRANGE(""https://docs.google.com/spreadsheets/d/19vJNZY_5yjcGF2XGBMNZRCAIB0Kwfpjp8YEOfu-bneM/edit?usp=sharing"",""งานกองทุน!S78"")"),2280000)</f>
        <v>2280000</v>
      </c>
      <c r="J827" s="880">
        <f ca="1">IFERROR(__xludf.DUMMYFUNCTION("IMPORTRANGE(""https://docs.google.com/spreadsheets/d/19vJNZY_5yjcGF2XGBMNZRCAIB0Kwfpjp8YEOfu-bneM/edit?usp=sharing"",""งานกองทุน!U78"")"),2280000)</f>
        <v>2280000</v>
      </c>
      <c r="K827" s="881">
        <f t="shared" ca="1" si="335"/>
        <v>100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IFERROR(__xludf.DUMMYFUNCTION("IMPORTRANGE(""https://docs.google.com/spreadsheets/d/19vJNZY_5yjcGF2XGBMNZRCAIB0Kwfpjp8YEOfu-bneM/edit?usp=sharing"",""งานกองทุน!R78"")"),91)</f>
        <v>91</v>
      </c>
      <c r="J828" s="1138">
        <f ca="1">IFERROR(__xludf.DUMMYFUNCTION("IMPORTRANGE(""https://docs.google.com/spreadsheets/d/19vJNZY_5yjcGF2XGBMNZRCAIB0Kwfpjp8YEOfu-bneM/edit?usp=sharing"",""งานกองทุน!T78"")"),93)</f>
        <v>93</v>
      </c>
      <c r="K828" s="1239">
        <f t="shared" ca="1" si="335"/>
        <v>102.1978021978022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B1892-E1F7-4636-BE82-56932087F60C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9" width="14.5703125" style="852" bestFit="1" customWidth="1"/>
    <col min="10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  <c r="Q1" s="1494" t="s">
        <v>341</v>
      </c>
    </row>
    <row r="2" spans="1:26" ht="19.5">
      <c r="A2" s="828" t="s">
        <v>342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2683594</v>
      </c>
      <c r="M8" s="867">
        <f t="shared" ca="1" si="0"/>
        <v>2411785.66</v>
      </c>
      <c r="N8" s="867">
        <f t="shared" ca="1" si="0"/>
        <v>1542991.9</v>
      </c>
      <c r="O8" s="867">
        <f t="shared" ref="O8:O16" ca="1" si="1">IF(L8&gt;0,N8*100/L8,0)</f>
        <v>57.49721828264633</v>
      </c>
      <c r="P8" s="867">
        <f t="shared" ref="P8:P16" ca="1" si="2">IF(M8&gt;0,N8*100/M8,0)</f>
        <v>63.977157074563578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2683594</v>
      </c>
      <c r="M10" s="874">
        <f t="shared" ca="1" si="3"/>
        <v>2411785.66</v>
      </c>
      <c r="N10" s="874">
        <f t="shared" ca="1" si="3"/>
        <v>1542991.9</v>
      </c>
      <c r="O10" s="874">
        <f t="shared" ca="1" si="1"/>
        <v>57.49721828264633</v>
      </c>
      <c r="P10" s="874">
        <f t="shared" ca="1" si="2"/>
        <v>63.977157074563578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2592794</v>
      </c>
      <c r="M11" s="881">
        <f t="shared" ca="1" si="4"/>
        <v>2320985.66</v>
      </c>
      <c r="N11" s="881">
        <f t="shared" ca="1" si="4"/>
        <v>1452191.9</v>
      </c>
      <c r="O11" s="881">
        <f t="shared" ca="1" si="1"/>
        <v>56.008765061937048</v>
      </c>
      <c r="P11" s="881">
        <f t="shared" ca="1" si="2"/>
        <v>62.567896261797664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2592794</v>
      </c>
      <c r="M13" s="887">
        <f t="shared" ca="1" si="5"/>
        <v>2320985.66</v>
      </c>
      <c r="N13" s="887">
        <f t="shared" ca="1" si="5"/>
        <v>1452191.9</v>
      </c>
      <c r="O13" s="887">
        <f t="shared" ca="1" si="1"/>
        <v>56.008765061937048</v>
      </c>
      <c r="P13" s="887">
        <f t="shared" ca="1" si="2"/>
        <v>62.567896261797664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90800</v>
      </c>
      <c r="M14" s="881">
        <f t="shared" ca="1" si="6"/>
        <v>90800</v>
      </c>
      <c r="N14" s="881">
        <f t="shared" ca="1" si="6"/>
        <v>90800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90800</v>
      </c>
      <c r="M16" s="893">
        <f t="shared" ca="1" si="7"/>
        <v>90800</v>
      </c>
      <c r="N16" s="893">
        <f t="shared" ca="1" si="7"/>
        <v>90800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1945970</v>
      </c>
      <c r="M18" s="867">
        <f t="shared" ca="1" si="8"/>
        <v>1679771.66</v>
      </c>
      <c r="N18" s="867">
        <f t="shared" ca="1" si="8"/>
        <v>1194593.8999999999</v>
      </c>
      <c r="O18" s="867">
        <f t="shared" ref="O18:O26" ca="1" si="9">IF(L18&gt;0,N18*100/L18,0)</f>
        <v>61.388094369389037</v>
      </c>
      <c r="P18" s="867">
        <f t="shared" ref="P18:P26" ca="1" si="10">IF(M18&gt;0,N18*100/M18,0)</f>
        <v>71.116445672145701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1945970</v>
      </c>
      <c r="M20" s="874">
        <f t="shared" ca="1" si="11"/>
        <v>1679771.66</v>
      </c>
      <c r="N20" s="874">
        <f t="shared" ca="1" si="11"/>
        <v>1194593.8999999999</v>
      </c>
      <c r="O20" s="874">
        <f t="shared" ca="1" si="9"/>
        <v>61.388094369389037</v>
      </c>
      <c r="P20" s="874">
        <f t="shared" ca="1" si="10"/>
        <v>71.116445672145701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1855170</v>
      </c>
      <c r="M21" s="881">
        <f t="shared" ca="1" si="12"/>
        <v>1588971.66</v>
      </c>
      <c r="N21" s="881">
        <f t="shared" ca="1" si="12"/>
        <v>1103793.8999999999</v>
      </c>
      <c r="O21" s="881">
        <f t="shared" ca="1" si="9"/>
        <v>59.498261614838526</v>
      </c>
      <c r="P21" s="881">
        <f t="shared" ca="1" si="10"/>
        <v>69.465927416225909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1855170</v>
      </c>
      <c r="M23" s="887">
        <f t="shared" ca="1" si="13"/>
        <v>1588971.66</v>
      </c>
      <c r="N23" s="887">
        <f t="shared" ca="1" si="13"/>
        <v>1103793.8999999999</v>
      </c>
      <c r="O23" s="887">
        <f t="shared" ca="1" si="9"/>
        <v>59.498261614838526</v>
      </c>
      <c r="P23" s="887">
        <f t="shared" ca="1" si="10"/>
        <v>69.465927416225909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90800</v>
      </c>
      <c r="M24" s="881">
        <f t="shared" ca="1" si="14"/>
        <v>90800</v>
      </c>
      <c r="N24" s="881">
        <f t="shared" ca="1" si="14"/>
        <v>90800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90800</v>
      </c>
      <c r="M26" s="893">
        <f t="shared" ca="1" si="15"/>
        <v>90800</v>
      </c>
      <c r="N26" s="893">
        <f t="shared" ca="1" si="15"/>
        <v>90800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737624</v>
      </c>
      <c r="M28" s="867">
        <f t="shared" ca="1" si="16"/>
        <v>732014</v>
      </c>
      <c r="N28" s="867">
        <f t="shared" si="16"/>
        <v>348398</v>
      </c>
      <c r="O28" s="867">
        <f t="shared" ref="O28:O37" ca="1" si="17">IF(L28&gt;0,N28*100/L28,0)</f>
        <v>47.232465321084995</v>
      </c>
      <c r="P28" s="867">
        <f t="shared" ref="P28:P37" ca="1" si="18">IF(M28&gt;0,N28*100/M28,0)</f>
        <v>47.594444914987967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737624</v>
      </c>
      <c r="M30" s="874">
        <f t="shared" ca="1" si="19"/>
        <v>732014</v>
      </c>
      <c r="N30" s="874">
        <f t="shared" si="19"/>
        <v>348398</v>
      </c>
      <c r="O30" s="874">
        <f t="shared" ca="1" si="17"/>
        <v>47.232465321084995</v>
      </c>
      <c r="P30" s="874">
        <f t="shared" ca="1" si="18"/>
        <v>47.594444914987967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737624</v>
      </c>
      <c r="M31" s="881">
        <f t="shared" ca="1" si="20"/>
        <v>732014</v>
      </c>
      <c r="N31" s="881">
        <f t="shared" si="20"/>
        <v>348398</v>
      </c>
      <c r="O31" s="881">
        <f t="shared" ca="1" si="17"/>
        <v>47.232465321084995</v>
      </c>
      <c r="P31" s="881">
        <f t="shared" ca="1" si="18"/>
        <v>47.594444914987967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737624</v>
      </c>
      <c r="M33" s="887">
        <f t="shared" ca="1" si="21"/>
        <v>732014</v>
      </c>
      <c r="N33" s="887">
        <f t="shared" si="21"/>
        <v>348398</v>
      </c>
      <c r="O33" s="887">
        <f t="shared" ca="1" si="17"/>
        <v>47.232465321084995</v>
      </c>
      <c r="P33" s="887">
        <f t="shared" ca="1" si="18"/>
        <v>47.594444914987967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1945970</v>
      </c>
      <c r="M37" s="900">
        <f t="shared" ca="1" si="24"/>
        <v>1679771.66</v>
      </c>
      <c r="N37" s="900">
        <f t="shared" ca="1" si="24"/>
        <v>1194593.8999999999</v>
      </c>
      <c r="O37" s="900">
        <f t="shared" ca="1" si="17"/>
        <v>61.388094369389037</v>
      </c>
      <c r="P37" s="900">
        <f t="shared" ca="1" si="18"/>
        <v>71.116445672145701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273150</v>
      </c>
      <c r="M41" s="926">
        <f t="shared" ca="1" si="25"/>
        <v>373026.66</v>
      </c>
      <c r="N41" s="926">
        <f t="shared" ca="1" si="25"/>
        <v>278719</v>
      </c>
      <c r="O41" s="926">
        <f t="shared" ref="O41:O49" ca="1" si="26">IF(L41&gt;0,N41*100/L41,0)</f>
        <v>102.03880651656598</v>
      </c>
      <c r="P41" s="926">
        <f t="shared" ref="P41:P49" ca="1" si="27">IF(M41&gt;0,N41*100/M41,0)</f>
        <v>74.718252041288423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273150</v>
      </c>
      <c r="M43" s="932">
        <f t="shared" ca="1" si="28"/>
        <v>373026.66</v>
      </c>
      <c r="N43" s="932">
        <f t="shared" ca="1" si="28"/>
        <v>278719</v>
      </c>
      <c r="O43" s="932">
        <f t="shared" ca="1" si="26"/>
        <v>102.03880651656598</v>
      </c>
      <c r="P43" s="932">
        <f t="shared" ca="1" si="27"/>
        <v>74.718252041288423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273150</v>
      </c>
      <c r="M44" s="881">
        <f t="shared" ca="1" si="29"/>
        <v>373026.66</v>
      </c>
      <c r="N44" s="881">
        <f t="shared" ca="1" si="29"/>
        <v>278719</v>
      </c>
      <c r="O44" s="881">
        <f t="shared" ca="1" si="26"/>
        <v>102.03880651656598</v>
      </c>
      <c r="P44" s="881">
        <f t="shared" ca="1" si="27"/>
        <v>74.718252041288423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IFERROR(__xludf.DUMMYFUNCTION("IMPORTRANGE(""https://docs.google.com/spreadsheets/d/1MeEWN-I1oV_STSDYn1IFDPWt_1FKiwhDph83XaGc0o0/edit?usp=sharing"",""งบพรบ!M79"")"),273150)</f>
        <v>273150</v>
      </c>
      <c r="M46" s="887">
        <f ca="1">IFERROR(__xludf.DUMMYFUNCTION("IMPORTRANGE(""https://docs.google.com/spreadsheets/d/1MeEWN-I1oV_STSDYn1IFDPWt_1FKiwhDph83XaGc0o0/edit?usp=sharing"",""งบพรบ!R79"")"),373026.66)</f>
        <v>373026.66</v>
      </c>
      <c r="N46" s="887">
        <f ca="1">IFERROR(__xludf.DUMMYFUNCTION("IMPORTRANGE(""https://docs.google.com/spreadsheets/d/1MeEWN-I1oV_STSDYn1IFDPWt_1FKiwhDph83XaGc0o0/edit?usp=sharing"",""งบพรบ!T79"")"),278719)</f>
        <v>278719</v>
      </c>
      <c r="O46" s="887">
        <f t="shared" ca="1" si="26"/>
        <v>102.03880651656598</v>
      </c>
      <c r="P46" s="887">
        <f t="shared" ca="1" si="27"/>
        <v>74.718252041288423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IFERROR(__xludf.DUMMYFUNCTION("IMPORTRANGE(""https://docs.google.com/spreadsheets/d/1MeEWN-I1oV_STSDYn1IFDPWt_1FKiwhDph83XaGc0o0/edit?usp=sharing"",""งบพรบ!P79"")"),0)</f>
        <v>0</v>
      </c>
      <c r="M49" s="893">
        <f ca="1">IFERROR(__xludf.DUMMYFUNCTION("IMPORTRANGE(""https://docs.google.com/spreadsheets/d/1MeEWN-I1oV_STSDYn1IFDPWt_1FKiwhDph83XaGc0o0/edit?usp=sharing"",""งบพรบ!S79"")"),0)</f>
        <v>0</v>
      </c>
      <c r="N49" s="893">
        <f ca="1">IFERROR(__xludf.DUMMYFUNCTION("IMPORTRANGE(""https://docs.google.com/spreadsheets/d/1MeEWN-I1oV_STSDYn1IFDPWt_1FKiwhDph83XaGc0o0/edit?usp=sharing"",""งบพรบ!U79"")"),0)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559000</v>
      </c>
      <c r="M53" s="956">
        <f t="shared" ca="1" si="31"/>
        <v>419250</v>
      </c>
      <c r="N53" s="956">
        <f t="shared" ca="1" si="31"/>
        <v>249049.98</v>
      </c>
      <c r="O53" s="956">
        <f t="shared" ref="O53:O61" ca="1" si="32">IF(L53&gt;0,N53*100/L53,0)</f>
        <v>44.552769230769229</v>
      </c>
      <c r="P53" s="956">
        <f t="shared" ref="P53:P61" ca="1" si="33">IF(M53&gt;0,N53*100/M53,0)</f>
        <v>59.40369230769231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559000</v>
      </c>
      <c r="M55" s="962">
        <f t="shared" ca="1" si="34"/>
        <v>419250</v>
      </c>
      <c r="N55" s="962">
        <f t="shared" ca="1" si="34"/>
        <v>249049.98</v>
      </c>
      <c r="O55" s="962">
        <f t="shared" ca="1" si="32"/>
        <v>44.552769230769229</v>
      </c>
      <c r="P55" s="962">
        <f t="shared" ca="1" si="33"/>
        <v>59.40369230769231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559000</v>
      </c>
      <c r="M56" s="881">
        <f t="shared" ca="1" si="35"/>
        <v>419250</v>
      </c>
      <c r="N56" s="881">
        <f t="shared" ca="1" si="35"/>
        <v>249049.98</v>
      </c>
      <c r="O56" s="881">
        <f t="shared" ca="1" si="32"/>
        <v>44.552769230769229</v>
      </c>
      <c r="P56" s="881">
        <f t="shared" ca="1" si="33"/>
        <v>59.40369230769231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IFERROR(__xludf.DUMMYFUNCTION("IMPORTRANGE(""https://docs.google.com/spreadsheets/d/1MeEWN-I1oV_STSDYn1IFDPWt_1FKiwhDph83XaGc0o0/edit?usp=sharing"",""งบพรบ!W79"")"),559000)</f>
        <v>559000</v>
      </c>
      <c r="M58" s="887">
        <f ca="1">IFERROR(__xludf.DUMMYFUNCTION("IMPORTRANGE(""https://docs.google.com/spreadsheets/d/1MeEWN-I1oV_STSDYn1IFDPWt_1FKiwhDph83XaGc0o0/edit?usp=sharing"",""งบพรบ!AB79"")"),419250)</f>
        <v>419250</v>
      </c>
      <c r="N58" s="887">
        <f ca="1">IFERROR(__xludf.DUMMYFUNCTION("IMPORTRANGE(""https://docs.google.com/spreadsheets/d/1MeEWN-I1oV_STSDYn1IFDPWt_1FKiwhDph83XaGc0o0/edit?usp=sharing"",""งบพรบ!AD79"")"),249049.98)</f>
        <v>249049.98</v>
      </c>
      <c r="O58" s="887">
        <f t="shared" ca="1" si="32"/>
        <v>44.552769230769229</v>
      </c>
      <c r="P58" s="887">
        <f t="shared" ca="1" si="33"/>
        <v>59.40369230769231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0</v>
      </c>
      <c r="M59" s="881">
        <f t="shared" ca="1" si="36"/>
        <v>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IFERROR(__xludf.DUMMYFUNCTION("IMPORTRANGE(""https://docs.google.com/spreadsheets/d/1MeEWN-I1oV_STSDYn1IFDPWt_1FKiwhDph83XaGc0o0/edit?usp=sharing"",""งบพรบ!Z79"")"),0)</f>
        <v>0</v>
      </c>
      <c r="M61" s="893">
        <f ca="1">IFERROR(__xludf.DUMMYFUNCTION("IMPORTRANGE(""https://docs.google.com/spreadsheets/d/1MeEWN-I1oV_STSDYn1IFDPWt_1FKiwhDph83XaGc0o0/edit?usp=sharing"",""งบพรบ!AC79"")"),0)</f>
        <v>0</v>
      </c>
      <c r="N61" s="893">
        <f ca="1">IFERROR(__xludf.DUMMYFUNCTION("IMPORTRANGE(""https://docs.google.com/spreadsheets/d/1MeEWN-I1oV_STSDYn1IFDPWt_1FKiwhDph83XaGc0o0/edit?usp=sharing"",""งบพรบ!AE79"")"),0)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IFERROR(__xludf.DUMMYFUNCTION("IMPORTRANGE(""https://docs.google.com/spreadsheets/d/1MeEWN-I1oV_STSDYn1IFDPWt_1FKiwhDph83XaGc0o0/edit?usp=sharing"",""งบพรบ!AG79"")"),0)</f>
        <v>0</v>
      </c>
      <c r="M71" s="887">
        <f ca="1">IFERROR(__xludf.DUMMYFUNCTION("IMPORTRANGE(""https://docs.google.com/spreadsheets/d/1MeEWN-I1oV_STSDYn1IFDPWt_1FKiwhDph83XaGc0o0/edit?usp=sharing"",""งบพรบ!AL79"")"),0)</f>
        <v>0</v>
      </c>
      <c r="N71" s="887">
        <f ca="1">IFERROR(__xludf.DUMMYFUNCTION("IMPORTRANGE(""https://docs.google.com/spreadsheets/d/1MeEWN-I1oV_STSDYn1IFDPWt_1FKiwhDph83XaGc0o0/edit?usp=sharing"",""งบพรบ!AN79"")"),0)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IFERROR(__xludf.DUMMYFUNCTION("IMPORTRANGE(""https://docs.google.com/spreadsheets/d/1MeEWN-I1oV_STSDYn1IFDPWt_1FKiwhDph83XaGc0o0/edit?usp=sharing"",""งบพรบ!AJ79"")"),0)</f>
        <v>0</v>
      </c>
      <c r="M74" s="887">
        <f ca="1">IFERROR(__xludf.DUMMYFUNCTION("IMPORTRANGE(""https://docs.google.com/spreadsheets/d/1MeEWN-I1oV_STSDYn1IFDPWt_1FKiwhDph83XaGc0o0/edit?usp=sharing"",""งบพรบ!AM79"")"),0)</f>
        <v>0</v>
      </c>
      <c r="N74" s="887">
        <f ca="1">IFERROR(__xludf.DUMMYFUNCTION("IMPORTRANGE(""https://docs.google.com/spreadsheets/d/1MeEWN-I1oV_STSDYn1IFDPWt_1FKiwhDph83XaGc0o0/edit?usp=sharing"",""งบพรบ!AO79"")"),0)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IFERROR(__xludf.DUMMYFUNCTION("IMPORTRANGE(""https://docs.google.com/spreadsheets/d/1QqKyyYR6Q21VydFLVH3TRQUabQu_ym0Zz7PgGX0-kHA/edit?usp=sharing"",""แผน!H79"")"),0)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IFERROR(__xludf.DUMMYFUNCTION("IMPORTRANGE(""https://docs.google.com/spreadsheets/d/1QqKyyYR6Q21VydFLVH3TRQUabQu_ym0Zz7PgGX0-kHA/edit?usp=sharing"",""แผน!I79"")"),0)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IFERROR(__xludf.DUMMYFUNCTION("IMPORTRANGE(""https://docs.google.com/spreadsheets/d/1QqKyyYR6Q21VydFLVH3TRQUabQu_ym0Zz7PgGX0-kHA/edit?usp=sharing"",""แผน!F79"")"),0)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IFERROR(__xludf.DUMMYFUNCTION("IMPORTRANGE(""https://docs.google.com/spreadsheets/d/1QqKyyYR6Q21VydFLVH3TRQUabQu_ym0Zz7PgGX0-kHA/edit?usp=sharing"",""แผน!G79"")"),0)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IFERROR(__xludf.DUMMYFUNCTION("IMPORTRANGE(""https://docs.google.com/spreadsheets/d/1QqKyyYR6Q21VydFLVH3TRQUabQu_ym0Zz7PgGX0-kHA/edit?usp=sharing"",""แผน!D79"")"),0)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IFERROR(__xludf.DUMMYFUNCTION("IMPORTRANGE(""https://docs.google.com/spreadsheets/d/1QqKyyYR6Q21VydFLVH3TRQUabQu_ym0Zz7PgGX0-kHA/edit?usp=sharing"",""แผน!E79"")"),0)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IFERROR(__xludf.DUMMYFUNCTION("IMPORTRANGE(""https://docs.google.com/spreadsheets/d/1QqKyyYR6Q21VydFLVH3TRQUabQu_ym0Zz7PgGX0-kHA/edit?usp=sharing"",""แผน!J79"")"),0)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75</v>
      </c>
      <c r="J86" s="982">
        <f t="shared" si="47"/>
        <v>75</v>
      </c>
      <c r="K86" s="983">
        <f t="shared" ref="K86:K87" ca="1" si="48">IF(I86&gt;0,J86*100/I86,0)</f>
        <v>100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25</v>
      </c>
      <c r="J87" s="982">
        <f t="shared" si="47"/>
        <v>25</v>
      </c>
      <c r="K87" s="983">
        <f t="shared" ca="1" si="48"/>
        <v>100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237000</v>
      </c>
      <c r="M88" s="992">
        <f t="shared" ca="1" si="49"/>
        <v>188650</v>
      </c>
      <c r="N88" s="992">
        <f t="shared" ca="1" si="49"/>
        <v>152297.32999999999</v>
      </c>
      <c r="O88" s="992">
        <f t="shared" ref="O88:O96" ca="1" si="50">IF(L88&gt;0,N88*100/L88,0)</f>
        <v>64.260476793248941</v>
      </c>
      <c r="P88" s="992">
        <f t="shared" ref="P88:P96" ca="1" si="51">IF(M88&gt;0,N88*100/M88,0)</f>
        <v>80.730098065200096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237000</v>
      </c>
      <c r="M90" s="887">
        <f t="shared" ca="1" si="52"/>
        <v>188650</v>
      </c>
      <c r="N90" s="887">
        <f t="shared" ca="1" si="52"/>
        <v>152297.32999999999</v>
      </c>
      <c r="O90" s="887">
        <f t="shared" ca="1" si="50"/>
        <v>64.260476793248941</v>
      </c>
      <c r="P90" s="887">
        <f t="shared" ca="1" si="51"/>
        <v>80.730098065200096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237000</v>
      </c>
      <c r="M91" s="881">
        <f t="shared" ca="1" si="53"/>
        <v>188650</v>
      </c>
      <c r="N91" s="881">
        <f t="shared" ca="1" si="53"/>
        <v>152297.32999999999</v>
      </c>
      <c r="O91" s="881">
        <f t="shared" ca="1" si="50"/>
        <v>64.260476793248941</v>
      </c>
      <c r="P91" s="881">
        <f t="shared" ca="1" si="51"/>
        <v>80.730098065200096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IFERROR(__xludf.DUMMYFUNCTION("IMPORTRANGE(""https://docs.google.com/spreadsheets/d/1MeEWN-I1oV_STSDYn1IFDPWt_1FKiwhDph83XaGc0o0/edit?usp=sharing"",""งบพรบ!AQ79"")"),237000)</f>
        <v>237000</v>
      </c>
      <c r="M93" s="887">
        <f ca="1">IFERROR(__xludf.DUMMYFUNCTION("IMPORTRANGE(""https://docs.google.com/spreadsheets/d/1MeEWN-I1oV_STSDYn1IFDPWt_1FKiwhDph83XaGc0o0/edit?usp=sharing"",""งบพรบ!AV79"")"),188650)</f>
        <v>188650</v>
      </c>
      <c r="N93" s="887">
        <f ca="1">IFERROR(__xludf.DUMMYFUNCTION("IMPORTRANGE(""https://docs.google.com/spreadsheets/d/1MeEWN-I1oV_STSDYn1IFDPWt_1FKiwhDph83XaGc0o0/edit?usp=sharing"",""งบพรบ!AX79"")"),152297.33)</f>
        <v>152297.32999999999</v>
      </c>
      <c r="O93" s="887">
        <f t="shared" ca="1" si="50"/>
        <v>64.260476793248941</v>
      </c>
      <c r="P93" s="887">
        <f t="shared" ca="1" si="51"/>
        <v>80.730098065200096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IFERROR(__xludf.DUMMYFUNCTION("IMPORTRANGE(""https://docs.google.com/spreadsheets/d/1MeEWN-I1oV_STSDYn1IFDPWt_1FKiwhDph83XaGc0o0/edit?usp=sharing"",""งบพรบ!AT79"")"),0)</f>
        <v>0</v>
      </c>
      <c r="M96" s="887">
        <f ca="1">IFERROR(__xludf.DUMMYFUNCTION("IMPORTRANGE(""https://docs.google.com/spreadsheets/d/1MeEWN-I1oV_STSDYn1IFDPWt_1FKiwhDph83XaGc0o0/edit?usp=sharing"",""งบพรบ!AW79"")"),0)</f>
        <v>0</v>
      </c>
      <c r="N96" s="887">
        <f ca="1">IFERROR(__xludf.DUMMYFUNCTION("IMPORTRANGE(""https://docs.google.com/spreadsheets/d/1MeEWN-I1oV_STSDYn1IFDPWt_1FKiwhDph83XaGc0o0/edit?usp=sharing"",""งบพรบ!AY79"")"),0)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IFERROR(__xludf.DUMMYFUNCTION("IMPORTRANGE(""https://docs.google.com/spreadsheets/d/1QqKyyYR6Q21VydFLVH3TRQUabQu_ym0Zz7PgGX0-kHA/edit?usp=sharing"",""แผน!K79"")"),75)</f>
        <v>75</v>
      </c>
      <c r="J98" s="880">
        <f>J102</f>
        <v>75</v>
      </c>
      <c r="K98" s="881">
        <f t="shared" ref="K98:K100" ca="1" si="55">IF(I98&gt;0,J98*100/I98,0)</f>
        <v>100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IFERROR(__xludf.DUMMYFUNCTION("IMPORTRANGE(""https://docs.google.com/spreadsheets/d/1QqKyyYR6Q21VydFLVH3TRQUabQu_ym0Zz7PgGX0-kHA/edit?usp=sharing"",""แผน!L79"")"),25)</f>
        <v>25</v>
      </c>
      <c r="J99" s="880">
        <f>J104</f>
        <v>25</v>
      </c>
      <c r="K99" s="881">
        <f t="shared" ca="1" si="55"/>
        <v>100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IFERROR(__xludf.DUMMYFUNCTION("IMPORTRANGE(""https://docs.google.com/spreadsheets/d/1QqKyyYR6Q21VydFLVH3TRQUabQu_ym0Zz7PgGX0-kHA/edit?usp=sharing"",""แผน!M79"")"),1)</f>
        <v>1</v>
      </c>
      <c r="J100" s="880">
        <f>J107+J110</f>
        <v>1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IFERROR(__xludf.DUMMYFUNCTION("IMPORTRANGE(""https://docs.google.com/spreadsheets/d/1QqKyyYR6Q21VydFLVH3TRQUabQu_ym0Zz7PgGX0-kHA/edit?usp=sharing"",""แผน!N79"")"),75)</f>
        <v>75</v>
      </c>
      <c r="J102" s="1012">
        <v>75</v>
      </c>
      <c r="K102" s="881">
        <f t="shared" ref="K102:K104" ca="1" si="56">IF(I102&gt;0,J102*100/I102,0)</f>
        <v>100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IFERROR(__xludf.DUMMYFUNCTION("IMPORTRANGE(""https://docs.google.com/spreadsheets/d/1QqKyyYR6Q21VydFLVH3TRQUabQu_ym0Zz7PgGX0-kHA/edit?usp=sharing"",""แผน!O79"")"),25)</f>
        <v>25</v>
      </c>
      <c r="J103" s="1012">
        <v>25</v>
      </c>
      <c r="K103" s="881">
        <f t="shared" ca="1" si="56"/>
        <v>100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IFERROR(__xludf.DUMMYFUNCTION("IMPORTRANGE(""https://docs.google.com/spreadsheets/d/1QqKyyYR6Q21VydFLVH3TRQUabQu_ym0Zz7PgGX0-kHA/edit?usp=sharing"",""แผน!O79"")"),25)</f>
        <v>25</v>
      </c>
      <c r="J104" s="1012">
        <v>25</v>
      </c>
      <c r="K104" s="881">
        <f t="shared" ca="1" si="56"/>
        <v>100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IFERROR(__xludf.DUMMYFUNCTION("IMPORTRANGE(""https://docs.google.com/spreadsheets/d/1QqKyyYR6Q21VydFLVH3TRQUabQu_ym0Zz7PgGX0-kHA/edit?usp=sharing"",""แผน!P79"")"),1)</f>
        <v>1</v>
      </c>
      <c r="J106" s="1012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IFERROR(__xludf.DUMMYFUNCTION("IMPORTRANGE(""https://docs.google.com/spreadsheets/d/1QqKyyYR6Q21VydFLVH3TRQUabQu_ym0Zz7PgGX0-kHA/edit?usp=sharing"",""แผน!P79"")"),1)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IFERROR(__xludf.DUMMYFUNCTION("IMPORTRANGE(""https://docs.google.com/spreadsheets/d/1QqKyyYR6Q21VydFLVH3TRQUabQu_ym0Zz7PgGX0-kHA/edit?usp=sharing"",""แผน!Q79"")"),0)</f>
        <v>0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IFERROR(__xludf.DUMMYFUNCTION("IMPORTRANGE(""https://docs.google.com/spreadsheets/d/1QqKyyYR6Q21VydFLVH3TRQUabQu_ym0Zz7PgGX0-kHA/edit?usp=sharing"",""แผน!Q79"")"),0)</f>
        <v>0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IFERROR(__xludf.DUMMYFUNCTION("IMPORTRANGE(""https://docs.google.com/spreadsheets/d/1QqKyyYR6Q21VydFLVH3TRQUabQu_ym0Zz7PgGX0-kHA/edit?usp=sharing"",""แผน!R79"")"),25)</f>
        <v>25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1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IFERROR(__xludf.DUMMYFUNCTION("IMPORTRANGE(""https://docs.google.com/spreadsheets/d/1QqKyyYR6Q21VydFLVH3TRQUabQu_ym0Zz7PgGX0-kHA/edit?usp=sharing"",""แผน!R79"")"),25)</f>
        <v>25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IFERROR(__xludf.DUMMYFUNCTION("IMPORTRANGE(""https://docs.google.com/spreadsheets/d/1QqKyyYR6Q21VydFLVH3TRQUabQu_ym0Zz7PgGX0-kHA/edit?usp=sharing"",""แผน!R79"")"),25)</f>
        <v>25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IFERROR(__xludf.DUMMYFUNCTION("IMPORTRANGE(""https://docs.google.com/spreadsheets/d/1QqKyyYR6Q21VydFLVH3TRQUabQu_ym0Zz7PgGX0-kHA/edit?usp=sharing"",""แผน!S79"")"),1)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IFERROR(__xludf.DUMMYFUNCTION("IMPORTRANGE(""https://docs.google.com/spreadsheets/d/1QqKyyYR6Q21VydFLVH3TRQUabQu_ym0Zz7PgGX0-kHA/edit?usp=sharing"",""แผน!T79"")"),0)</f>
        <v>0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>
        <v>0</v>
      </c>
      <c r="J118" s="1027">
        <v>0</v>
      </c>
      <c r="K118" s="984">
        <v>0</v>
      </c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IFERROR(__xludf.DUMMYFUNCTION("IMPORTRANGE(""https://docs.google.com/spreadsheets/d/1MeEWN-I1oV_STSDYn1IFDPWt_1FKiwhDph83XaGc0o0/edit?usp=sharing"",""งบพรบ!BA79"")"),0)</f>
        <v>0</v>
      </c>
      <c r="M124" s="887">
        <f ca="1">IFERROR(__xludf.DUMMYFUNCTION("IMPORTRANGE(""https://docs.google.com/spreadsheets/d/1MeEWN-I1oV_STSDYn1IFDPWt_1FKiwhDph83XaGc0o0/edit?usp=sharing"",""งบพรบ!BF79"")"),0)</f>
        <v>0</v>
      </c>
      <c r="N124" s="887">
        <f ca="1">IFERROR(__xludf.DUMMYFUNCTION("IMPORTRANGE(""https://docs.google.com/spreadsheets/d/1MeEWN-I1oV_STSDYn1IFDPWt_1FKiwhDph83XaGc0o0/edit?usp=sharing"",""งบพรบ!BH79"")"),0)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IFERROR(__xludf.DUMMYFUNCTION("IMPORTRANGE(""https://docs.google.com/spreadsheets/d/1MeEWN-I1oV_STSDYn1IFDPWt_1FKiwhDph83XaGc0o0/edit?usp=sharing"",""งบพรบ!BD79"")"),0)</f>
        <v>0</v>
      </c>
      <c r="M127" s="887">
        <f ca="1">IFERROR(__xludf.DUMMYFUNCTION("IMPORTRANGE(""https://docs.google.com/spreadsheets/d/1MeEWN-I1oV_STSDYn1IFDPWt_1FKiwhDph83XaGc0o0/edit?usp=sharing"",""งบพรบ!BG79"")"),0)</f>
        <v>0</v>
      </c>
      <c r="N127" s="887">
        <f ca="1">IFERROR(__xludf.DUMMYFUNCTION("IMPORTRANGE(""https://docs.google.com/spreadsheets/d/1MeEWN-I1oV_STSDYn1IFDPWt_1FKiwhDph83XaGc0o0/edit?usp=sharing"",""งบพรบ!BI79"")"),0)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IFERROR(__xludf.DUMMYFUNCTION("IMPORTRANGE(""https://docs.google.com/spreadsheets/d/1MeEWN-I1oV_STSDYn1IFDPWt_1FKiwhDph83XaGc0o0/edit?usp=sharing"",""งบพรบ!BK79"")"),0)</f>
        <v>0</v>
      </c>
      <c r="M137" s="887">
        <f ca="1">IFERROR(__xludf.DUMMYFUNCTION("IMPORTRANGE(""https://docs.google.com/spreadsheets/d/1MeEWN-I1oV_STSDYn1IFDPWt_1FKiwhDph83XaGc0o0/edit?usp=sharing"",""งบพรบ!BP79"")"),0)</f>
        <v>0</v>
      </c>
      <c r="N137" s="887">
        <f ca="1">IFERROR(__xludf.DUMMYFUNCTION("IMPORTRANGE(""https://docs.google.com/spreadsheets/d/1MeEWN-I1oV_STSDYn1IFDPWt_1FKiwhDph83XaGc0o0/edit?usp=sharing"",""งบพรบ!BR79"")"),0)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IFERROR(__xludf.DUMMYFUNCTION("IMPORTRANGE(""https://docs.google.com/spreadsheets/d/1MeEWN-I1oV_STSDYn1IFDPWt_1FKiwhDph83XaGc0o0/edit?usp=sharing"",""งบพรบ!BN79"")"),0)</f>
        <v>0</v>
      </c>
      <c r="M140" s="887">
        <f ca="1">IFERROR(__xludf.DUMMYFUNCTION("IMPORTRANGE(""https://docs.google.com/spreadsheets/d/1MeEWN-I1oV_STSDYn1IFDPWt_1FKiwhDph83XaGc0o0/edit?usp=sharing"",""งบพรบ!BQ79"")"),0)</f>
        <v>0</v>
      </c>
      <c r="N140" s="887">
        <f ca="1">IFERROR(__xludf.DUMMYFUNCTION("IMPORTRANGE(""https://docs.google.com/spreadsheets/d/1MeEWN-I1oV_STSDYn1IFDPWt_1FKiwhDph83XaGc0o0/edit?usp=sharing"",""งบพรบ!BS79"")"),0)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IFERROR(__xludf.DUMMYFUNCTION("IMPORTRANGE(""https://docs.google.com/spreadsheets/d/1QqKyyYR6Q21VydFLVH3TRQUabQu_ym0Zz7PgGX0-kHA/edit?usp=sharing"",""แผน!U79"")"),0)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IFERROR(__xludf.DUMMYFUNCTION("IMPORTRANGE(""https://docs.google.com/spreadsheets/d/1QqKyyYR6Q21VydFLVH3TRQUabQu_ym0Zz7PgGX0-kHA/edit?usp=sharing"",""แผน!V79"")"),0)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IFERROR(__xludf.DUMMYFUNCTION("IMPORTRANGE(""https://docs.google.com/spreadsheets/d/1QqKyyYR6Q21VydFLVH3TRQUabQu_ym0Zz7PgGX0-kHA/edit?usp=sharing"",""แผน!W79"")"),0)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IFERROR(__xludf.DUMMYFUNCTION("IMPORTRANGE(""https://docs.google.com/spreadsheets/d/1MeEWN-I1oV_STSDYn1IFDPWt_1FKiwhDph83XaGc0o0/edit?usp=sharing"",""งบพรบ!BU79"")"),0)</f>
        <v>0</v>
      </c>
      <c r="M154" s="887">
        <f ca="1">IFERROR(__xludf.DUMMYFUNCTION("IMPORTRANGE(""https://docs.google.com/spreadsheets/d/1MeEWN-I1oV_STSDYn1IFDPWt_1FKiwhDph83XaGc0o0/edit?usp=sharing"",""งบพรบ!BZ79"")"),0)</f>
        <v>0</v>
      </c>
      <c r="N154" s="887">
        <f ca="1">IFERROR(__xludf.DUMMYFUNCTION("IMPORTRANGE(""https://docs.google.com/spreadsheets/d/1MeEWN-I1oV_STSDYn1IFDPWt_1FKiwhDph83XaGc0o0/edit?usp=sharing"",""งบพรบ!CB79"")"),0)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IFERROR(__xludf.DUMMYFUNCTION("IMPORTRANGE(""https://docs.google.com/spreadsheets/d/1MeEWN-I1oV_STSDYn1IFDPWt_1FKiwhDph83XaGc0o0/edit?usp=sharing"",""งบพรบ!BX79"")"),0)</f>
        <v>0</v>
      </c>
      <c r="M157" s="887">
        <f ca="1">IFERROR(__xludf.DUMMYFUNCTION("IMPORTRANGE(""https://docs.google.com/spreadsheets/d/1MeEWN-I1oV_STSDYn1IFDPWt_1FKiwhDph83XaGc0o0/edit?usp=sharing"",""งบพรบ!CA79"")"),0)</f>
        <v>0</v>
      </c>
      <c r="N157" s="887">
        <f ca="1">IFERROR(__xludf.DUMMYFUNCTION("IMPORTRANGE(""https://docs.google.com/spreadsheets/d/1MeEWN-I1oV_STSDYn1IFDPWt_1FKiwhDph83XaGc0o0/edit?usp=sharing"",""งบพรบ!CC79"")"),0)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IFERROR(__xludf.DUMMYFUNCTION("IMPORTRANGE(""https://docs.google.com/spreadsheets/d/1QqKyyYR6Q21VydFLVH3TRQUabQu_ym0Zz7PgGX0-kHA/edit?usp=sharing"",""แผน!X79"")"),0)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10</v>
      </c>
      <c r="J164" s="1075">
        <f t="shared" si="83"/>
        <v>10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21050</v>
      </c>
      <c r="M165" s="992">
        <f t="shared" ca="1" si="84"/>
        <v>47740</v>
      </c>
      <c r="N165" s="992">
        <f t="shared" ca="1" si="84"/>
        <v>47740</v>
      </c>
      <c r="O165" s="992">
        <f t="shared" ref="O165:O173" ca="1" si="85">IF(L165&gt;0,N165*100/L165,0)</f>
        <v>226.79334916864607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21050</v>
      </c>
      <c r="M167" s="887">
        <f t="shared" ca="1" si="87"/>
        <v>47740</v>
      </c>
      <c r="N167" s="887">
        <f t="shared" ca="1" si="87"/>
        <v>47740</v>
      </c>
      <c r="O167" s="887">
        <f t="shared" ca="1" si="85"/>
        <v>226.79334916864607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21050</v>
      </c>
      <c r="M168" s="881">
        <f t="shared" ca="1" si="88"/>
        <v>47740</v>
      </c>
      <c r="N168" s="881">
        <f t="shared" ca="1" si="88"/>
        <v>47740</v>
      </c>
      <c r="O168" s="881">
        <f t="shared" ca="1" si="85"/>
        <v>226.79334916864607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IFERROR(__xludf.DUMMYFUNCTION("IMPORTRANGE(""https://docs.google.com/spreadsheets/d/1MeEWN-I1oV_STSDYn1IFDPWt_1FKiwhDph83XaGc0o0/edit?usp=sharing"",""งบพรบ!CE79"")"),21050)</f>
        <v>21050</v>
      </c>
      <c r="M170" s="887">
        <f ca="1">IFERROR(__xludf.DUMMYFUNCTION("IMPORTRANGE(""https://docs.google.com/spreadsheets/d/1MeEWN-I1oV_STSDYn1IFDPWt_1FKiwhDph83XaGc0o0/edit?usp=sharing"",""งบพรบ!CJ79"")"),47740)</f>
        <v>47740</v>
      </c>
      <c r="N170" s="887">
        <f ca="1">IFERROR(__xludf.DUMMYFUNCTION("IMPORTRANGE(""https://docs.google.com/spreadsheets/d/1MeEWN-I1oV_STSDYn1IFDPWt_1FKiwhDph83XaGc0o0/edit?usp=sharing"",""งบพรบ!CL79"")"),47740)</f>
        <v>47740</v>
      </c>
      <c r="O170" s="887">
        <f t="shared" ca="1" si="85"/>
        <v>226.79334916864607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IFERROR(__xludf.DUMMYFUNCTION("IMPORTRANGE(""https://docs.google.com/spreadsheets/d/1MeEWN-I1oV_STSDYn1IFDPWt_1FKiwhDph83XaGc0o0/edit?usp=sharing"",""งบพรบ!CH79"")"),0)</f>
        <v>0</v>
      </c>
      <c r="M173" s="887">
        <f ca="1">IFERROR(__xludf.DUMMYFUNCTION("IMPORTRANGE(""https://docs.google.com/spreadsheets/d/1MeEWN-I1oV_STSDYn1IFDPWt_1FKiwhDph83XaGc0o0/edit?usp=sharing"",""งบพรบ!CK79"")"),0)</f>
        <v>0</v>
      </c>
      <c r="N173" s="887">
        <f ca="1">IFERROR(__xludf.DUMMYFUNCTION("IMPORTRANGE(""https://docs.google.com/spreadsheets/d/1MeEWN-I1oV_STSDYn1IFDPWt_1FKiwhDph83XaGc0o0/edit?usp=sharing"",""งบพรบ!CM79"")"),0)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10</v>
      </c>
      <c r="J174" s="1067">
        <f t="shared" si="90"/>
        <v>10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IFERROR(__xludf.DUMMYFUNCTION("IMPORTRANGE(""https://docs.google.com/spreadsheets/d/1QqKyyYR6Q21VydFLVH3TRQUabQu_ym0Zz7PgGX0-kHA/edit?usp=sharing"",""แผน!Y79"")"),10)</f>
        <v>10</v>
      </c>
      <c r="J176" s="1012">
        <v>10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281000</v>
      </c>
      <c r="M181" s="992">
        <f t="shared" ca="1" si="92"/>
        <v>208875</v>
      </c>
      <c r="N181" s="992">
        <f t="shared" ca="1" si="92"/>
        <v>143655.79</v>
      </c>
      <c r="O181" s="992">
        <f t="shared" ref="O181:O189" ca="1" si="93">IF(L181&gt;0,N181*100/L181,0)</f>
        <v>51.12305693950178</v>
      </c>
      <c r="P181" s="992">
        <f t="shared" ref="P181:P189" ca="1" si="94">IF(M181&gt;0,N181*100/M181,0)</f>
        <v>68.775961699581089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281000</v>
      </c>
      <c r="M183" s="887">
        <f t="shared" ca="1" si="95"/>
        <v>208875</v>
      </c>
      <c r="N183" s="887">
        <f t="shared" ca="1" si="95"/>
        <v>143655.79</v>
      </c>
      <c r="O183" s="887">
        <f t="shared" ca="1" si="93"/>
        <v>51.12305693950178</v>
      </c>
      <c r="P183" s="887">
        <f t="shared" ca="1" si="94"/>
        <v>68.775961699581089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281000</v>
      </c>
      <c r="M184" s="881">
        <f t="shared" ca="1" si="96"/>
        <v>208875</v>
      </c>
      <c r="N184" s="881">
        <f t="shared" ca="1" si="96"/>
        <v>143655.79</v>
      </c>
      <c r="O184" s="881">
        <f t="shared" ca="1" si="93"/>
        <v>51.12305693950178</v>
      </c>
      <c r="P184" s="881">
        <f t="shared" ca="1" si="94"/>
        <v>68.775961699581089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IFERROR(__xludf.DUMMYFUNCTION("IMPORTRANGE(""https://docs.google.com/spreadsheets/d/1MeEWN-I1oV_STSDYn1IFDPWt_1FKiwhDph83XaGc0o0/edit?usp=sharing"",""งบพรบ!CO79"")"),281000)</f>
        <v>281000</v>
      </c>
      <c r="M186" s="887">
        <f ca="1">IFERROR(__xludf.DUMMYFUNCTION("IMPORTRANGE(""https://docs.google.com/spreadsheets/d/1MeEWN-I1oV_STSDYn1IFDPWt_1FKiwhDph83XaGc0o0/edit?usp=sharing"",""งบพรบ!CT79"")"),208875)</f>
        <v>208875</v>
      </c>
      <c r="N186" s="887">
        <f ca="1">IFERROR(__xludf.DUMMYFUNCTION("IMPORTRANGE(""https://docs.google.com/spreadsheets/d/1MeEWN-I1oV_STSDYn1IFDPWt_1FKiwhDph83XaGc0o0/edit?usp=sharing"",""งบพรบ!CV79"")"),143655.79)</f>
        <v>143655.79</v>
      </c>
      <c r="O186" s="887">
        <f t="shared" ca="1" si="93"/>
        <v>51.12305693950178</v>
      </c>
      <c r="P186" s="887">
        <f t="shared" ca="1" si="94"/>
        <v>68.775961699581089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IFERROR(__xludf.DUMMYFUNCTION("IMPORTRANGE(""https://docs.google.com/spreadsheets/d/1MeEWN-I1oV_STSDYn1IFDPWt_1FKiwhDph83XaGc0o0/edit?usp=sharing"",""งบพรบ!CR79"")"),0)</f>
        <v>0</v>
      </c>
      <c r="M189" s="887">
        <f ca="1">IFERROR(__xludf.DUMMYFUNCTION("IMPORTRANGE(""https://docs.google.com/spreadsheets/d/1MeEWN-I1oV_STSDYn1IFDPWt_1FKiwhDph83XaGc0o0/edit?usp=sharing"",""งบพรบ!CU79"")"),0)</f>
        <v>0</v>
      </c>
      <c r="N189" s="887">
        <f ca="1">IFERROR(__xludf.DUMMYFUNCTION("IMPORTRANGE(""https://docs.google.com/spreadsheets/d/1MeEWN-I1oV_STSDYn1IFDPWt_1FKiwhDph83XaGc0o0/edit?usp=sharing"",""งบพรบ!CW79"")"),0)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IFERROR(__xludf.DUMMYFUNCTION("IMPORTRANGE(""https://docs.google.com/spreadsheets/d/1QqKyyYR6Q21VydFLVH3TRQUabQu_ym0Zz7PgGX0-kHA/edit?usp=sharing"",""แผน!Z79"")"),6000)</f>
        <v>6000</v>
      </c>
      <c r="M191" s="992"/>
      <c r="N191" s="1081">
        <f>[1]ผลการเบิกจ่ายเงินงบประมาณ!G28</f>
        <v>4400</v>
      </c>
      <c r="O191" s="992">
        <f ca="1">IF(L191&gt;0,N191*100/L191,0)</f>
        <v>73.333333333333329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IFERROR(__xludf.DUMMYFUNCTION("IMPORTRANGE(""https://docs.google.com/spreadsheets/d/1QqKyyYR6Q21VydFLVH3TRQUabQu_ym0Zz7PgGX0-kHA/edit?usp=sharing"",""แผน!AC79"")"),4)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106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106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 hidden="1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0</v>
      </c>
      <c r="J197" s="1078">
        <f t="shared" si="99"/>
        <v>0</v>
      </c>
      <c r="K197" s="1079">
        <f ca="1">IF(I197&gt;0,J197*100/I197,0)</f>
        <v>0</v>
      </c>
      <c r="L197" s="1068"/>
      <c r="M197" s="1068"/>
      <c r="N197" s="1068"/>
      <c r="O197" s="1068"/>
      <c r="P197" s="1068"/>
    </row>
    <row r="198" spans="1:26" ht="19.5" hidden="1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0</v>
      </c>
      <c r="M198" s="992"/>
      <c r="N198" s="992">
        <f>N199+N200+N201+N202</f>
        <v>0</v>
      </c>
      <c r="O198" s="992">
        <f ca="1">IF(L198&gt;0,N198*100/L198,0)</f>
        <v>0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 hidden="1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IFERROR(__xludf.DUMMYFUNCTION("IMPORTRANGE(""https://docs.google.com/spreadsheets/d/1QqKyyYR6Q21VydFLVH3TRQUabQu_ym0Zz7PgGX0-kHA/edit?usp=sharing"",""แผน!AE79"")"),0)</f>
        <v>0</v>
      </c>
      <c r="M199" s="881"/>
      <c r="N199" s="1085">
        <v>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 hidden="1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IFERROR(__xludf.DUMMYFUNCTION("IMPORTRANGE(""https://docs.google.com/spreadsheets/d/1QqKyyYR6Q21VydFLVH3TRQUabQu_ym0Zz7PgGX0-kHA/edit?usp=sharing"",""แผน!AF79"")"),0)</f>
        <v>0</v>
      </c>
      <c r="M200" s="881"/>
      <c r="N200" s="1085">
        <v>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 hidden="1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IFERROR(__xludf.DUMMYFUNCTION("IMPORTRANGE(""https://docs.google.com/spreadsheets/d/1QqKyyYR6Q21VydFLVH3TRQUabQu_ym0Zz7PgGX0-kHA/edit?usp=sharing"",""แผน!AG79"")"),0)</f>
        <v>0</v>
      </c>
      <c r="M201" s="881"/>
      <c r="N201" s="1085">
        <v>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 hidden="1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IFERROR(__xludf.DUMMYFUNCTION("IMPORTRANGE(""https://docs.google.com/spreadsheets/d/1QqKyyYR6Q21VydFLVH3TRQUabQu_ym0Zz7PgGX0-kHA/edit?usp=sharing"",""แผน!AH79"")"),0)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 hidden="1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 hidden="1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IFERROR(__xludf.DUMMYFUNCTION("IMPORTRANGE(""https://docs.google.com/spreadsheets/d/1QqKyyYR6Q21VydFLVH3TRQUabQu_ym0Zz7PgGX0-kHA/edit?usp=sharing"",""แผน!AI79"")"),0)</f>
        <v>0</v>
      </c>
      <c r="J204" s="1012">
        <v>0</v>
      </c>
      <c r="K204" s="998">
        <f ca="1">IF(I204&gt;0,J204*100/I204,0)</f>
        <v>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 hidden="1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 hidden="1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/>
      <c r="J206" s="1012">
        <v>0</v>
      </c>
      <c r="K206" s="998"/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 hidden="1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/>
      <c r="J207" s="1012">
        <v>0</v>
      </c>
      <c r="K207" s="998"/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0">I215</f>
        <v>0</v>
      </c>
      <c r="J208" s="1078">
        <f t="shared" si="100"/>
        <v>0</v>
      </c>
      <c r="K208" s="1079">
        <f ca="1">IF(I208&gt;0,J208*100/I208,0)</f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IFERROR(__xludf.DUMMYFUNCTION("IMPORTRANGE(""https://docs.google.com/spreadsheets/d/1QqKyyYR6Q21VydFLVH3TRQUabQu_ym0Zz7PgGX0-kHA/edit?usp=sharing"",""แผน!AK79"")"),0)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IFERROR(__xludf.DUMMYFUNCTION("IMPORTRANGE(""https://docs.google.com/spreadsheets/d/1QqKyyYR6Q21VydFLVH3TRQUabQu_ym0Zz7PgGX0-kHA/edit?usp=sharing"",""แผน!AL79"")"),0)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IFERROR(__xludf.DUMMYFUNCTION("IMPORTRANGE(""https://docs.google.com/spreadsheets/d/1QqKyyYR6Q21VydFLVH3TRQUabQu_ym0Zz7PgGX0-kHA/edit?usp=sharing"",""แผน!AM79"")"),0)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IFERROR(__xludf.DUMMYFUNCTION("IMPORTRANGE(""https://docs.google.com/spreadsheets/d/1QqKyyYR6Q21VydFLVH3TRQUabQu_ym0Zz7PgGX0-kHA/edit?usp=sharing"",""แผน!AN79"")"),0)</f>
        <v>0</v>
      </c>
      <c r="J214" s="1012">
        <v>0</v>
      </c>
      <c r="K214" s="881">
        <f t="shared" ref="K214:K216" ca="1" si="101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IFERROR(__xludf.DUMMYFUNCTION("IMPORTRANGE(""https://docs.google.com/spreadsheets/d/1QqKyyYR6Q21VydFLVH3TRQUabQu_ym0Zz7PgGX0-kHA/edit?usp=sharing"",""แผน!AN79"")"),0)</f>
        <v>0</v>
      </c>
      <c r="J215" s="1012">
        <v>0</v>
      </c>
      <c r="K215" s="881">
        <f t="shared" ca="1" si="101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2">I224</f>
        <v>10000</v>
      </c>
      <c r="J216" s="1078">
        <f t="shared" si="102"/>
        <v>0</v>
      </c>
      <c r="K216" s="1079">
        <f t="shared" ca="1" si="101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6500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IFERROR(__xludf.DUMMYFUNCTION("IMPORTRANGE(""https://docs.google.com/spreadsheets/d/1QqKyyYR6Q21VydFLVH3TRQUabQu_ym0Zz7PgGX0-kHA/edit?usp=sharing"",""แผน!AP79"")"),3000)</f>
        <v>3000</v>
      </c>
      <c r="M218" s="881"/>
      <c r="N218" s="1085">
        <f>[1]ผลการเบิกจ่ายเงินงบประมาณ!G30</f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IFERROR(__xludf.DUMMYFUNCTION("IMPORTRANGE(""https://docs.google.com/spreadsheets/d/1QqKyyYR6Q21VydFLVH3TRQUabQu_ym0Zz7PgGX0-kHA/edit?usp=sharing"",""แผน!AQ79"")"),3500)</f>
        <v>3500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IFERROR(__xludf.DUMMYFUNCTION("IMPORTRANGE(""https://docs.google.com/spreadsheets/d/1QqKyyYR6Q21VydFLVH3TRQUabQu_ym0Zz7PgGX0-kHA/edit?usp=sharing"",""แผน!AR79"")"),0)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IFERROR(__xludf.DUMMYFUNCTION("IMPORTRANGE(""https://docs.google.com/spreadsheets/d/1QqKyyYR6Q21VydFLVH3TRQUabQu_ym0Zz7PgGX0-kHA/edit?usp=sharing"",""แผน!AT79"")"),10000)</f>
        <v>10000</v>
      </c>
      <c r="J223" s="1012">
        <v>0</v>
      </c>
      <c r="K223" s="998">
        <f t="shared" ref="K223:K226" ca="1" si="103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IFERROR(__xludf.DUMMYFUNCTION("IMPORTRANGE(""https://docs.google.com/spreadsheets/d/1QqKyyYR6Q21VydFLVH3TRQUabQu_ym0Zz7PgGX0-kHA/edit?usp=sharing"",""แผน!AT79"")"),10000)</f>
        <v>10000</v>
      </c>
      <c r="J224" s="1012">
        <v>0</v>
      </c>
      <c r="K224" s="998">
        <f t="shared" ca="1" si="103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IFERROR(__xludf.DUMMYFUNCTION("IMPORTRANGE(""https://docs.google.com/spreadsheets/d/1QqKyyYR6Q21VydFLVH3TRQUabQu_ym0Zz7PgGX0-kHA/edit?usp=sharing"",""แผน!AS79"")"),0)</f>
        <v>0</v>
      </c>
      <c r="J225" s="1012">
        <v>0</v>
      </c>
      <c r="K225" s="998">
        <f t="shared" ca="1" si="103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4">I237+I248</f>
        <v>#VALUE!</v>
      </c>
      <c r="J226" s="1094">
        <f t="shared" si="104"/>
        <v>0</v>
      </c>
      <c r="K226" s="1095" t="e">
        <f t="shared" ca="1" si="103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5">L238+L249</f>
        <v>0</v>
      </c>
      <c r="M227" s="1103"/>
      <c r="N227" s="1103">
        <f t="shared" ref="N227:N231" si="106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5"/>
        <v>0</v>
      </c>
      <c r="M228" s="887"/>
      <c r="N228" s="887">
        <f t="shared" si="106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5"/>
        <v>0</v>
      </c>
      <c r="M229" s="887"/>
      <c r="N229" s="887">
        <f t="shared" si="106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5"/>
        <v>0</v>
      </c>
      <c r="M230" s="887"/>
      <c r="N230" s="887">
        <f t="shared" si="106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5"/>
        <v>0</v>
      </c>
      <c r="M231" s="887"/>
      <c r="N231" s="887">
        <f t="shared" si="106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7">I244+I255</f>
        <v>#VALUE!</v>
      </c>
      <c r="J233" s="886">
        <f t="shared" si="107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8">I246+I257</f>
        <v>0</v>
      </c>
      <c r="J235" s="886">
        <f t="shared" si="108"/>
        <v>0</v>
      </c>
      <c r="K235" s="887">
        <f t="shared" ref="K235:K237" si="109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8"/>
        <v>0</v>
      </c>
      <c r="J236" s="886">
        <f t="shared" si="108"/>
        <v>0</v>
      </c>
      <c r="K236" s="887">
        <f t="shared" si="109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495"/>
      <c r="B237" s="1496"/>
      <c r="C237" s="1497" t="s">
        <v>332</v>
      </c>
      <c r="D237" s="1498"/>
      <c r="E237" s="1498"/>
      <c r="F237" s="1498"/>
      <c r="G237" s="1499"/>
      <c r="H237" s="298" t="s">
        <v>35</v>
      </c>
      <c r="I237" s="1500">
        <f t="shared" ref="I237:J237" ca="1" si="110">I244</f>
        <v>0</v>
      </c>
      <c r="J237" s="1500">
        <f t="shared" si="110"/>
        <v>0</v>
      </c>
      <c r="K237" s="1501">
        <f t="shared" ca="1" si="109"/>
        <v>0</v>
      </c>
      <c r="L237" s="1502"/>
      <c r="M237" s="1502"/>
      <c r="N237" s="1502"/>
      <c r="O237" s="1502"/>
      <c r="P237" s="1502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</row>
    <row r="238" spans="1:26" ht="19.5" hidden="1">
      <c r="A238" s="1503"/>
      <c r="B238" s="1504"/>
      <c r="C238" s="1505" t="s">
        <v>16</v>
      </c>
      <c r="D238" s="1506" t="s">
        <v>17</v>
      </c>
      <c r="E238" s="1504"/>
      <c r="F238" s="1504"/>
      <c r="G238" s="1507"/>
      <c r="H238" s="308" t="s">
        <v>12</v>
      </c>
      <c r="I238" s="1508"/>
      <c r="J238" s="1508"/>
      <c r="K238" s="1509"/>
      <c r="L238" s="1510">
        <f ca="1">L239+L240+L241+L242</f>
        <v>0</v>
      </c>
      <c r="M238" s="1510"/>
      <c r="N238" s="1510">
        <f>N239+N240+N241+N242</f>
        <v>0</v>
      </c>
      <c r="O238" s="1510">
        <f ca="1">IF(L238&gt;0,N238*100/L238,0)</f>
        <v>0</v>
      </c>
      <c r="P238" s="1510">
        <f>IF(M238&gt;0,N238*100/M238,0)</f>
        <v>0</v>
      </c>
      <c r="Q238" s="1126"/>
      <c r="R238" s="1126"/>
      <c r="S238" s="1126"/>
      <c r="T238" s="1126"/>
      <c r="U238" s="1126"/>
      <c r="V238" s="1126"/>
      <c r="W238" s="1126"/>
      <c r="X238" s="1126"/>
      <c r="Y238" s="1126"/>
      <c r="Z238" s="1126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IFERROR(__xludf.DUMMYFUNCTION("IMPORTRANGE(""https://docs.google.com/spreadsheets/d/1QqKyyYR6Q21VydFLVH3TRQUabQu_ym0Zz7PgGX0-kHA/edit?usp=sharing"",""แผน!AV79"")"),0)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IFERROR(__xludf.DUMMYFUNCTION("IMPORTRANGE(""https://docs.google.com/spreadsheets/d/1QqKyyYR6Q21VydFLVH3TRQUabQu_ym0Zz7PgGX0-kHA/edit?usp=sharing"",""แผน!AW79"")"),0)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IFERROR(__xludf.DUMMYFUNCTION("IMPORTRANGE(""https://docs.google.com/spreadsheets/d/1QqKyyYR6Q21VydFLVH3TRQUabQu_ym0Zz7PgGX0-kHA/edit?usp=sharing"",""แผน!AX79"")"),0)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IFERROR(__xludf.DUMMYFUNCTION("IMPORTRANGE(""https://docs.google.com/spreadsheets/d/1QqKyyYR6Q21VydFLVH3TRQUabQu_ym0Zz7PgGX0-kHA/edit?usp=sharing"",""แผน!AY79"")"),0)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511"/>
      <c r="B243" s="1512"/>
      <c r="C243" s="1128" t="s">
        <v>16</v>
      </c>
      <c r="D243" s="1513" t="s">
        <v>38</v>
      </c>
      <c r="E243" s="1514"/>
      <c r="F243" s="1514"/>
      <c r="G243" s="1515"/>
      <c r="H243" s="1516"/>
      <c r="I243" s="1122"/>
      <c r="J243" s="1129"/>
      <c r="K243" s="1124"/>
      <c r="L243" s="1124"/>
      <c r="M243" s="1124"/>
      <c r="N243" s="1124"/>
      <c r="O243" s="1123"/>
      <c r="P243" s="1123"/>
      <c r="Q243" s="1126"/>
      <c r="R243" s="1126"/>
      <c r="S243" s="1126"/>
      <c r="T243" s="1126"/>
      <c r="U243" s="1126"/>
      <c r="V243" s="1126"/>
      <c r="W243" s="1126"/>
      <c r="X243" s="1126"/>
      <c r="Y243" s="1126"/>
      <c r="Z243" s="1126"/>
    </row>
    <row r="244" spans="1:26" ht="18.75" hidden="1">
      <c r="A244" s="1511"/>
      <c r="B244" s="1512"/>
      <c r="C244" s="1512"/>
      <c r="D244" s="1517" t="s">
        <v>117</v>
      </c>
      <c r="E244" s="1518"/>
      <c r="F244" s="1518"/>
      <c r="G244" s="1519"/>
      <c r="H244" s="337" t="s">
        <v>35</v>
      </c>
      <c r="I244" s="1129">
        <f ca="1">IFERROR(__xludf.DUMMYFUNCTION("IMPORTRANGE(""https://docs.google.com/spreadsheets/d/1QqKyyYR6Q21VydFLVH3TRQUabQu_ym0Zz7PgGX0-kHA/edit?usp=sharing"",""แผน!BE79"")"),0)</f>
        <v>0</v>
      </c>
      <c r="J244" s="1520">
        <v>0</v>
      </c>
      <c r="K244" s="1124">
        <f ca="1">IF(I244&gt;0,J244*100/I244,0)</f>
        <v>0</v>
      </c>
      <c r="L244" s="1124"/>
      <c r="M244" s="1124"/>
      <c r="N244" s="1124"/>
      <c r="O244" s="1124"/>
      <c r="P244" s="1124"/>
      <c r="Q244" s="1126"/>
      <c r="R244" s="1126"/>
      <c r="S244" s="1126"/>
      <c r="T244" s="1126"/>
      <c r="U244" s="1126"/>
      <c r="V244" s="1126"/>
      <c r="W244" s="1126"/>
      <c r="X244" s="1126"/>
      <c r="Y244" s="1126"/>
      <c r="Z244" s="1126"/>
    </row>
    <row r="245" spans="1:26" ht="18.75" hidden="1">
      <c r="A245" s="1511"/>
      <c r="B245" s="1512"/>
      <c r="C245" s="1512"/>
      <c r="D245" s="1521" t="s">
        <v>43</v>
      </c>
      <c r="E245" s="1518"/>
      <c r="F245" s="1518"/>
      <c r="G245" s="1519"/>
      <c r="H245" s="337"/>
      <c r="I245" s="1129"/>
      <c r="J245" s="1129"/>
      <c r="K245" s="1124"/>
      <c r="L245" s="1124"/>
      <c r="M245" s="1124"/>
      <c r="N245" s="1124"/>
      <c r="O245" s="1123"/>
      <c r="P245" s="1123"/>
      <c r="Q245" s="1126"/>
      <c r="R245" s="1126"/>
      <c r="S245" s="1126"/>
      <c r="T245" s="1126"/>
      <c r="U245" s="1126"/>
      <c r="V245" s="1126"/>
      <c r="W245" s="1126"/>
      <c r="X245" s="1126"/>
      <c r="Y245" s="1126"/>
      <c r="Z245" s="1126"/>
    </row>
    <row r="246" spans="1:26" ht="18.75" hidden="1">
      <c r="A246" s="1511"/>
      <c r="B246" s="1512"/>
      <c r="C246" s="1512"/>
      <c r="D246" s="1512"/>
      <c r="E246" s="1522" t="s">
        <v>118</v>
      </c>
      <c r="F246" s="1518"/>
      <c r="G246" s="1519"/>
      <c r="H246" s="337" t="s">
        <v>35</v>
      </c>
      <c r="I246" s="1129"/>
      <c r="J246" s="1520">
        <v>0</v>
      </c>
      <c r="K246" s="1124">
        <f t="shared" ref="K246:K248" si="111">IF(I246&gt;0,J246*100/I246,0)</f>
        <v>0</v>
      </c>
      <c r="L246" s="1124"/>
      <c r="M246" s="1124"/>
      <c r="N246" s="1124"/>
      <c r="O246" s="1124"/>
      <c r="P246" s="1124"/>
      <c r="Q246" s="1126"/>
      <c r="R246" s="1126"/>
      <c r="S246" s="1126"/>
      <c r="T246" s="1126"/>
      <c r="U246" s="1126"/>
      <c r="V246" s="1126"/>
      <c r="W246" s="1126"/>
      <c r="X246" s="1126"/>
      <c r="Y246" s="1126"/>
      <c r="Z246" s="1126"/>
    </row>
    <row r="247" spans="1:26" ht="18.75" hidden="1">
      <c r="A247" s="1511"/>
      <c r="B247" s="1512"/>
      <c r="C247" s="1512"/>
      <c r="D247" s="1512"/>
      <c r="E247" s="1522" t="s">
        <v>119</v>
      </c>
      <c r="F247" s="1518"/>
      <c r="G247" s="1519"/>
      <c r="H247" s="337" t="s">
        <v>66</v>
      </c>
      <c r="I247" s="1129"/>
      <c r="J247" s="1520">
        <v>0</v>
      </c>
      <c r="K247" s="1124">
        <f t="shared" si="111"/>
        <v>0</v>
      </c>
      <c r="L247" s="1124"/>
      <c r="M247" s="1124"/>
      <c r="N247" s="1124"/>
      <c r="O247" s="1124"/>
      <c r="P247" s="1124"/>
      <c r="Q247" s="1126"/>
      <c r="R247" s="1126"/>
      <c r="S247" s="1126"/>
      <c r="T247" s="1126"/>
      <c r="U247" s="1126"/>
      <c r="V247" s="1126"/>
      <c r="W247" s="1126"/>
      <c r="X247" s="1126"/>
      <c r="Y247" s="1126"/>
      <c r="Z247" s="1126"/>
    </row>
    <row r="248" spans="1:26" ht="19.5" hidden="1">
      <c r="A248" s="1495"/>
      <c r="B248" s="1496"/>
      <c r="C248" s="1497" t="s">
        <v>333</v>
      </c>
      <c r="D248" s="1498"/>
      <c r="E248" s="1498"/>
      <c r="F248" s="1498"/>
      <c r="G248" s="1499"/>
      <c r="H248" s="298" t="s">
        <v>35</v>
      </c>
      <c r="I248" s="1500" t="str">
        <f t="shared" ref="I248:J248" ca="1" si="112">I255</f>
        <v/>
      </c>
      <c r="J248" s="1500">
        <f t="shared" si="112"/>
        <v>0</v>
      </c>
      <c r="K248" s="1501" t="e">
        <f t="shared" ca="1" si="111"/>
        <v>#VALUE!</v>
      </c>
      <c r="L248" s="1502"/>
      <c r="M248" s="1502"/>
      <c r="N248" s="1502"/>
      <c r="O248" s="1502"/>
      <c r="P248" s="1502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</row>
    <row r="249" spans="1:26" ht="19.5" hidden="1">
      <c r="A249" s="1503"/>
      <c r="B249" s="1504"/>
      <c r="C249" s="1505" t="s">
        <v>16</v>
      </c>
      <c r="D249" s="1523" t="s">
        <v>17</v>
      </c>
      <c r="E249" s="1504"/>
      <c r="F249" s="1504"/>
      <c r="G249" s="1507"/>
      <c r="H249" s="308" t="s">
        <v>12</v>
      </c>
      <c r="I249" s="1508"/>
      <c r="J249" s="1508"/>
      <c r="K249" s="1509"/>
      <c r="L249" s="1510">
        <f ca="1">L250+L251+L252+L253</f>
        <v>0</v>
      </c>
      <c r="M249" s="1510"/>
      <c r="N249" s="1510">
        <f>N250+N251+N252+N253</f>
        <v>0</v>
      </c>
      <c r="O249" s="1510">
        <f ca="1">IF(L249&gt;0,N249*100/L249,0)</f>
        <v>0</v>
      </c>
      <c r="P249" s="1510">
        <f>IF(M249&gt;0,N249*100/M249,0)</f>
        <v>0</v>
      </c>
      <c r="Q249" s="1126"/>
      <c r="R249" s="1126"/>
      <c r="S249" s="1126"/>
      <c r="T249" s="1126"/>
      <c r="U249" s="1126"/>
      <c r="V249" s="1126"/>
      <c r="W249" s="1126"/>
      <c r="X249" s="1126"/>
      <c r="Y249" s="1126"/>
      <c r="Z249" s="1126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IFERROR(__xludf.DUMMYFUNCTION("IMPORTRANGE(""https://docs.google.com/spreadsheets/d/1QqKyyYR6Q21VydFLVH3TRQUabQu_ym0Zz7PgGX0-kHA/edit?usp=sharing"",""แผน!AZ79"")"),0)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IFERROR(__xludf.DUMMYFUNCTION("IMPORTRANGE(""https://docs.google.com/spreadsheets/d/1QqKyyYR6Q21VydFLVH3TRQUabQu_ym0Zz7PgGX0-kHA/edit?usp=sharing"",""แผน!BA79"")"),0)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IFERROR(__xludf.DUMMYFUNCTION("IMPORTRANGE(""https://docs.google.com/spreadsheets/d/1QqKyyYR6Q21VydFLVH3TRQUabQu_ym0Zz7PgGX0-kHA/edit?usp=sharing"",""แผน!BB79"")"),0)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IFERROR(__xludf.DUMMYFUNCTION("IMPORTRANGE(""https://docs.google.com/spreadsheets/d/1QqKyyYR6Q21VydFLVH3TRQUabQu_ym0Zz7PgGX0-kHA/edit?usp=sharing"",""แผน!BC79"")"),0)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511"/>
      <c r="B254" s="1512"/>
      <c r="C254" s="1128" t="s">
        <v>16</v>
      </c>
      <c r="D254" s="1513" t="s">
        <v>38</v>
      </c>
      <c r="E254" s="1514"/>
      <c r="F254" s="1514"/>
      <c r="G254" s="1515"/>
      <c r="H254" s="1516"/>
      <c r="I254" s="1122"/>
      <c r="J254" s="1129"/>
      <c r="K254" s="1124"/>
      <c r="L254" s="1124"/>
      <c r="M254" s="1124"/>
      <c r="N254" s="1124"/>
      <c r="O254" s="1123"/>
      <c r="P254" s="1123"/>
      <c r="Q254" s="1126"/>
      <c r="R254" s="1126"/>
      <c r="S254" s="1126"/>
      <c r="T254" s="1126"/>
      <c r="U254" s="1126"/>
      <c r="V254" s="1126"/>
      <c r="W254" s="1126"/>
      <c r="X254" s="1126"/>
      <c r="Y254" s="1126"/>
      <c r="Z254" s="1126"/>
    </row>
    <row r="255" spans="1:26" ht="18.75" hidden="1">
      <c r="A255" s="1511"/>
      <c r="B255" s="1512"/>
      <c r="C255" s="1512"/>
      <c r="D255" s="1517" t="s">
        <v>117</v>
      </c>
      <c r="E255" s="1518"/>
      <c r="F255" s="1518"/>
      <c r="G255" s="1519"/>
      <c r="H255" s="337" t="s">
        <v>35</v>
      </c>
      <c r="I255" s="1129" t="str">
        <f ca="1">IFERROR(__xludf.DUMMYFUNCTION("IMPORTRANGE(""https://docs.google.com/spreadsheets/d/1QqKyyYR6Q21VydFLVH3TRQUabQu_ym0Zz7PgGX0-kHA/edit?usp=sharing"",""แผน!BF79"")"),"")</f>
        <v/>
      </c>
      <c r="J255" s="1520">
        <v>0</v>
      </c>
      <c r="K255" s="1124" t="e">
        <f ca="1">IF(I255&gt;0,J255*100/I255,0)</f>
        <v>#VALUE!</v>
      </c>
      <c r="L255" s="1124"/>
      <c r="M255" s="1124"/>
      <c r="N255" s="1124"/>
      <c r="O255" s="1124"/>
      <c r="P255" s="1124"/>
      <c r="Q255" s="1126"/>
      <c r="R255" s="1126"/>
      <c r="S255" s="1126"/>
      <c r="T255" s="1126"/>
      <c r="U255" s="1126"/>
      <c r="V255" s="1126"/>
      <c r="W255" s="1126"/>
      <c r="X255" s="1126"/>
      <c r="Y255" s="1126"/>
      <c r="Z255" s="1126"/>
    </row>
    <row r="256" spans="1:26" ht="18.75" hidden="1">
      <c r="A256" s="1511"/>
      <c r="B256" s="1512"/>
      <c r="C256" s="1512"/>
      <c r="D256" s="1521" t="s">
        <v>43</v>
      </c>
      <c r="E256" s="1518"/>
      <c r="F256" s="1518"/>
      <c r="G256" s="1519"/>
      <c r="H256" s="337"/>
      <c r="I256" s="1129"/>
      <c r="J256" s="1129"/>
      <c r="K256" s="1124"/>
      <c r="L256" s="1124"/>
      <c r="M256" s="1124"/>
      <c r="N256" s="1124"/>
      <c r="O256" s="1123"/>
      <c r="P256" s="1123"/>
      <c r="Q256" s="1126"/>
      <c r="R256" s="1126"/>
      <c r="S256" s="1126"/>
      <c r="T256" s="1126"/>
      <c r="U256" s="1126"/>
      <c r="V256" s="1126"/>
      <c r="W256" s="1126"/>
      <c r="X256" s="1126"/>
      <c r="Y256" s="1126"/>
      <c r="Z256" s="1126"/>
    </row>
    <row r="257" spans="1:26" ht="18.75" hidden="1">
      <c r="A257" s="1511"/>
      <c r="B257" s="1512"/>
      <c r="C257" s="1512"/>
      <c r="D257" s="1512"/>
      <c r="E257" s="1522" t="s">
        <v>118</v>
      </c>
      <c r="F257" s="1518"/>
      <c r="G257" s="1519"/>
      <c r="H257" s="337" t="s">
        <v>35</v>
      </c>
      <c r="I257" s="1129"/>
      <c r="J257" s="1520">
        <v>0</v>
      </c>
      <c r="K257" s="1124">
        <f t="shared" ref="K257:K258" si="113">IF(I257&gt;0,J257*100/I257,0)</f>
        <v>0</v>
      </c>
      <c r="L257" s="1124"/>
      <c r="M257" s="1124"/>
      <c r="N257" s="1124"/>
      <c r="O257" s="1124"/>
      <c r="P257" s="1124"/>
      <c r="Q257" s="1126"/>
      <c r="R257" s="1126"/>
      <c r="S257" s="1126"/>
      <c r="T257" s="1126"/>
      <c r="U257" s="1126"/>
      <c r="V257" s="1126"/>
      <c r="W257" s="1126"/>
      <c r="X257" s="1126"/>
      <c r="Y257" s="1126"/>
      <c r="Z257" s="1126"/>
    </row>
    <row r="258" spans="1:26" ht="18.75" hidden="1">
      <c r="A258" s="1511"/>
      <c r="B258" s="1512"/>
      <c r="C258" s="1512"/>
      <c r="D258" s="1512"/>
      <c r="E258" s="1522" t="s">
        <v>119</v>
      </c>
      <c r="F258" s="1518"/>
      <c r="G258" s="1519"/>
      <c r="H258" s="337" t="s">
        <v>66</v>
      </c>
      <c r="I258" s="1129"/>
      <c r="J258" s="1520">
        <v>0</v>
      </c>
      <c r="K258" s="1124">
        <f t="shared" si="113"/>
        <v>0</v>
      </c>
      <c r="L258" s="1124"/>
      <c r="M258" s="1124"/>
      <c r="N258" s="1124"/>
      <c r="O258" s="1124"/>
      <c r="P258" s="1124"/>
      <c r="Q258" s="1126"/>
      <c r="R258" s="1126"/>
      <c r="S258" s="1126"/>
      <c r="T258" s="1126"/>
      <c r="U258" s="1126"/>
      <c r="V258" s="1126"/>
      <c r="W258" s="1126"/>
      <c r="X258" s="1126"/>
      <c r="Y258" s="1126"/>
      <c r="Z258" s="1126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4">I271</f>
        <v>16</v>
      </c>
      <c r="J260" s="1075">
        <f t="shared" si="114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5">L262+L263</f>
        <v>21200</v>
      </c>
      <c r="M261" s="992">
        <f t="shared" ca="1" si="115"/>
        <v>0</v>
      </c>
      <c r="N261" s="992">
        <f t="shared" ca="1" si="115"/>
        <v>0</v>
      </c>
      <c r="O261" s="992">
        <f t="shared" ref="O261:O269" ca="1" si="116">IF(L261&gt;0,N261*100/L261,0)</f>
        <v>0</v>
      </c>
      <c r="P261" s="992">
        <f t="shared" ref="P261:P269" ca="1" si="117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8">L265+L268</f>
        <v>0</v>
      </c>
      <c r="M262" s="887">
        <f t="shared" si="118"/>
        <v>0</v>
      </c>
      <c r="N262" s="887">
        <f t="shared" si="118"/>
        <v>0</v>
      </c>
      <c r="O262" s="887">
        <f t="shared" si="116"/>
        <v>0</v>
      </c>
      <c r="P262" s="887">
        <f t="shared" si="117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8"/>
        <v>21200</v>
      </c>
      <c r="M263" s="887">
        <f t="shared" ca="1" si="118"/>
        <v>0</v>
      </c>
      <c r="N263" s="887">
        <f t="shared" ca="1" si="118"/>
        <v>0</v>
      </c>
      <c r="O263" s="887">
        <f t="shared" ca="1" si="116"/>
        <v>0</v>
      </c>
      <c r="P263" s="887">
        <f t="shared" ca="1" si="117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19">L265+L266</f>
        <v>21200</v>
      </c>
      <c r="M264" s="881">
        <f t="shared" ca="1" si="119"/>
        <v>0</v>
      </c>
      <c r="N264" s="881">
        <f t="shared" ca="1" si="119"/>
        <v>0</v>
      </c>
      <c r="O264" s="881">
        <f t="shared" ca="1" si="116"/>
        <v>0</v>
      </c>
      <c r="P264" s="881">
        <f t="shared" ca="1" si="117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6"/>
        <v>0</v>
      </c>
      <c r="P265" s="887">
        <f t="shared" si="117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IFERROR(__xludf.DUMMYFUNCTION("IMPORTRANGE(""https://docs.google.com/spreadsheets/d/1MeEWN-I1oV_STSDYn1IFDPWt_1FKiwhDph83XaGc0o0/edit?usp=sharing"",""งบพรบ!CY79"")"),21200)</f>
        <v>21200</v>
      </c>
      <c r="M266" s="887">
        <f ca="1">IFERROR(__xludf.DUMMYFUNCTION("IMPORTRANGE(""https://docs.google.com/spreadsheets/d/1MeEWN-I1oV_STSDYn1IFDPWt_1FKiwhDph83XaGc0o0/edit?usp=sharing"",""งบพรบ!DD79"")"),0)</f>
        <v>0</v>
      </c>
      <c r="N266" s="887">
        <f ca="1">IFERROR(__xludf.DUMMYFUNCTION("IMPORTRANGE(""https://docs.google.com/spreadsheets/d/1MeEWN-I1oV_STSDYn1IFDPWt_1FKiwhDph83XaGc0o0/edit?usp=sharing"",""งบพรบ!DF79"")"),0)</f>
        <v>0</v>
      </c>
      <c r="O266" s="887">
        <f t="shared" ca="1" si="116"/>
        <v>0</v>
      </c>
      <c r="P266" s="887">
        <f t="shared" ca="1" si="117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0">L268+L269</f>
        <v>0</v>
      </c>
      <c r="M267" s="881">
        <f t="shared" ca="1" si="120"/>
        <v>0</v>
      </c>
      <c r="N267" s="881">
        <f t="shared" ca="1" si="120"/>
        <v>0</v>
      </c>
      <c r="O267" s="881">
        <f t="shared" ca="1" si="116"/>
        <v>0</v>
      </c>
      <c r="P267" s="881">
        <f t="shared" ca="1" si="117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6"/>
        <v>0</v>
      </c>
      <c r="P268" s="887">
        <f t="shared" si="117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IFERROR(__xludf.DUMMYFUNCTION("IMPORTRANGE(""https://docs.google.com/spreadsheets/d/1MeEWN-I1oV_STSDYn1IFDPWt_1FKiwhDph83XaGc0o0/edit?usp=sharing"",""งบพรบ!DB79"")"),0)</f>
        <v>0</v>
      </c>
      <c r="M269" s="887">
        <f ca="1">IFERROR(__xludf.DUMMYFUNCTION("IMPORTRANGE(""https://docs.google.com/spreadsheets/d/1MeEWN-I1oV_STSDYn1IFDPWt_1FKiwhDph83XaGc0o0/edit?usp=sharing"",""งบพรบ!DE79"")"),0)</f>
        <v>0</v>
      </c>
      <c r="N269" s="887">
        <f ca="1">IFERROR(__xludf.DUMMYFUNCTION("IMPORTRANGE(""https://docs.google.com/spreadsheets/d/1MeEWN-I1oV_STSDYn1IFDPWt_1FKiwhDph83XaGc0o0/edit?usp=sharing"",""งบพรบ!DG79"")"),0)</f>
        <v>0</v>
      </c>
      <c r="O269" s="887">
        <f t="shared" ca="1" si="116"/>
        <v>0</v>
      </c>
      <c r="P269" s="887">
        <f t="shared" ca="1" si="117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IFERROR(__xludf.DUMMYFUNCTION("IMPORTRANGE(""https://docs.google.com/spreadsheets/d/1QqKyyYR6Q21VydFLVH3TRQUabQu_ym0Zz7PgGX0-kHA/edit?usp=sharing"",""แผน!EA79"")"),16)</f>
        <v>16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1">I288</f>
        <v>0</v>
      </c>
      <c r="J275" s="1159">
        <f t="shared" ca="1" si="121"/>
        <v>0</v>
      </c>
      <c r="K275" s="1160">
        <f t="shared" ref="K275:K276" ca="1" si="122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3">I287</f>
        <v>0</v>
      </c>
      <c r="J276" s="1493">
        <f t="shared" si="123"/>
        <v>0</v>
      </c>
      <c r="K276" s="1161">
        <f t="shared" ca="1" si="122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4">L278+L279</f>
        <v>0</v>
      </c>
      <c r="M277" s="992">
        <f t="shared" ca="1" si="124"/>
        <v>0</v>
      </c>
      <c r="N277" s="992">
        <f t="shared" ca="1" si="124"/>
        <v>0</v>
      </c>
      <c r="O277" s="992">
        <f t="shared" ref="O277:O285" ca="1" si="125">IF(L277&gt;0,N277*100/L277,0)</f>
        <v>0</v>
      </c>
      <c r="P277" s="992">
        <f t="shared" ref="P277:P285" ca="1" si="126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7">L281+L284</f>
        <v>0</v>
      </c>
      <c r="M278" s="887">
        <f t="shared" si="127"/>
        <v>0</v>
      </c>
      <c r="N278" s="887">
        <f t="shared" si="127"/>
        <v>0</v>
      </c>
      <c r="O278" s="887">
        <f t="shared" si="125"/>
        <v>0</v>
      </c>
      <c r="P278" s="887">
        <f t="shared" si="126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7"/>
        <v>0</v>
      </c>
      <c r="M279" s="887">
        <f t="shared" ca="1" si="127"/>
        <v>0</v>
      </c>
      <c r="N279" s="887">
        <f t="shared" ca="1" si="127"/>
        <v>0</v>
      </c>
      <c r="O279" s="887">
        <f t="shared" ca="1" si="125"/>
        <v>0</v>
      </c>
      <c r="P279" s="887">
        <f t="shared" ca="1" si="126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8">L281+L282</f>
        <v>0</v>
      </c>
      <c r="M280" s="881">
        <f t="shared" ca="1" si="128"/>
        <v>0</v>
      </c>
      <c r="N280" s="881">
        <f t="shared" ca="1" si="128"/>
        <v>0</v>
      </c>
      <c r="O280" s="881">
        <f t="shared" ca="1" si="125"/>
        <v>0</v>
      </c>
      <c r="P280" s="881">
        <f t="shared" ca="1" si="126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5"/>
        <v>0</v>
      </c>
      <c r="P281" s="887">
        <f t="shared" si="126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IFERROR(__xludf.DUMMYFUNCTION("IMPORTRANGE(""https://docs.google.com/spreadsheets/d/1MeEWN-I1oV_STSDYn1IFDPWt_1FKiwhDph83XaGc0o0/edit?usp=sharing"",""งบพรบ!DI79"")"),0)</f>
        <v>0</v>
      </c>
      <c r="M282" s="887">
        <f ca="1">IFERROR(__xludf.DUMMYFUNCTION("IMPORTRANGE(""https://docs.google.com/spreadsheets/d/1MeEWN-I1oV_STSDYn1IFDPWt_1FKiwhDph83XaGc0o0/edit?usp=sharing"",""งบพรบ!DN79"")"),0)</f>
        <v>0</v>
      </c>
      <c r="N282" s="887">
        <f ca="1">IFERROR(__xludf.DUMMYFUNCTION("IMPORTRANGE(""https://docs.google.com/spreadsheets/d/1MeEWN-I1oV_STSDYn1IFDPWt_1FKiwhDph83XaGc0o0/edit?usp=sharing"",""งบพรบ!DP79"")"),0)</f>
        <v>0</v>
      </c>
      <c r="O282" s="887">
        <f t="shared" ca="1" si="125"/>
        <v>0</v>
      </c>
      <c r="P282" s="887">
        <f t="shared" ca="1" si="126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29">L284+L285</f>
        <v>0</v>
      </c>
      <c r="M283" s="881">
        <f t="shared" ca="1" si="129"/>
        <v>0</v>
      </c>
      <c r="N283" s="881">
        <f t="shared" ca="1" si="129"/>
        <v>0</v>
      </c>
      <c r="O283" s="881">
        <f t="shared" ca="1" si="125"/>
        <v>0</v>
      </c>
      <c r="P283" s="881">
        <f t="shared" ca="1" si="126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5"/>
        <v>0</v>
      </c>
      <c r="P284" s="887">
        <f t="shared" si="126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IFERROR(__xludf.DUMMYFUNCTION("IMPORTRANGE(""https://docs.google.com/spreadsheets/d/1MeEWN-I1oV_STSDYn1IFDPWt_1FKiwhDph83XaGc0o0/edit?usp=sharing"",""งบพรบ!DL79"")"),0)</f>
        <v>0</v>
      </c>
      <c r="M285" s="887">
        <f ca="1">IFERROR(__xludf.DUMMYFUNCTION("IMPORTRANGE(""https://docs.google.com/spreadsheets/d/1MeEWN-I1oV_STSDYn1IFDPWt_1FKiwhDph83XaGc0o0/edit?usp=sharing"",""งบพรบ!DO79"")"),0)</f>
        <v>0</v>
      </c>
      <c r="N285" s="887">
        <f ca="1">IFERROR(__xludf.DUMMYFUNCTION("IMPORTRANGE(""https://docs.google.com/spreadsheets/d/1MeEWN-I1oV_STSDYn1IFDPWt_1FKiwhDph83XaGc0o0/edit?usp=sharing"",""งบพรบ!DQ79"")"),0)</f>
        <v>0</v>
      </c>
      <c r="O285" s="887">
        <f t="shared" ca="1" si="125"/>
        <v>0</v>
      </c>
      <c r="P285" s="887">
        <f t="shared" ca="1" si="126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IFERROR(__xludf.DUMMYFUNCTION("IMPORTRANGE(""https://docs.google.com/spreadsheets/d/1QqKyyYR6Q21VydFLVH3TRQUabQu_ym0Zz7PgGX0-kHA/edit?usp=sharing"",""แผน!EC79"")"),0)</f>
        <v>0</v>
      </c>
      <c r="J287" s="880">
        <v>0</v>
      </c>
      <c r="K287" s="998">
        <f t="shared" ref="K287:K288" ca="1" si="130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IFERROR(__xludf.DUMMYFUNCTION("IMPORTRANGE(""https://docs.google.com/spreadsheets/d/1QqKyyYR6Q21VydFLVH3TRQUabQu_ym0Zz7PgGX0-kHA/edit?usp=sharing"",""แผน!EB79"")"),0)</f>
        <v>0</v>
      </c>
      <c r="J288" s="1019">
        <f ca="1">IF(AND(J291&gt;=I288,J294&gt;=I288),J294,0)</f>
        <v>0</v>
      </c>
      <c r="K288" s="1162">
        <f t="shared" ca="1" si="130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IFERROR(__xludf.DUMMYFUNCTION("IMPORTRANGE(""https://docs.google.com/spreadsheets/d/1QqKyyYR6Q21VydFLVH3TRQUabQu_ym0Zz7PgGX0-kHA/edit?usp=sharing"",""แผน!EB79"")"),0)</f>
        <v>0</v>
      </c>
      <c r="J290" s="1012">
        <v>0</v>
      </c>
      <c r="K290" s="998">
        <f t="shared" ref="K290:K291" ca="1" si="131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IFERROR(__xludf.DUMMYFUNCTION("IMPORTRANGE(""https://docs.google.com/spreadsheets/d/1QqKyyYR6Q21VydFLVH3TRQUabQu_ym0Zz7PgGX0-kHA/edit?usp=sharing"",""แผน!EB79"")"),0)</f>
        <v>0</v>
      </c>
      <c r="J291" s="1012">
        <v>0</v>
      </c>
      <c r="K291" s="998">
        <f t="shared" ca="1" si="131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IFERROR(__xludf.DUMMYFUNCTION("IMPORTRANGE(""https://docs.google.com/spreadsheets/d/1QqKyyYR6Q21VydFLVH3TRQUabQu_ym0Zz7PgGX0-kHA/edit?usp=sharing"",""แผน!EB79"")"),0)</f>
        <v>0</v>
      </c>
      <c r="J293" s="1012">
        <v>0</v>
      </c>
      <c r="K293" s="998">
        <f t="shared" ref="K293:K294" ca="1" si="132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IFERROR(__xludf.DUMMYFUNCTION("IMPORTRANGE(""https://docs.google.com/spreadsheets/d/1QqKyyYR6Q21VydFLVH3TRQUabQu_ym0Zz7PgGX0-kHA/edit?usp=sharing"",""แผน!EB79"")"),0)</f>
        <v>0</v>
      </c>
      <c r="J294" s="1171">
        <v>0</v>
      </c>
      <c r="K294" s="1139">
        <f t="shared" ca="1" si="132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3">I309</f>
        <v>0</v>
      </c>
      <c r="J297" s="1190">
        <f t="shared" si="133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4">L299+L300</f>
        <v>0</v>
      </c>
      <c r="M298" s="992">
        <f t="shared" ca="1" si="134"/>
        <v>0</v>
      </c>
      <c r="N298" s="992">
        <f t="shared" ca="1" si="134"/>
        <v>0</v>
      </c>
      <c r="O298" s="992">
        <f t="shared" ref="O298:O306" ca="1" si="135">IF(L298&gt;0,N298*100/L298,0)</f>
        <v>0</v>
      </c>
      <c r="P298" s="992">
        <f t="shared" ref="P298:P306" ca="1" si="136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7">L302+L305</f>
        <v>0</v>
      </c>
      <c r="M299" s="887">
        <f t="shared" si="137"/>
        <v>0</v>
      </c>
      <c r="N299" s="887">
        <f t="shared" si="137"/>
        <v>0</v>
      </c>
      <c r="O299" s="887">
        <f t="shared" si="135"/>
        <v>0</v>
      </c>
      <c r="P299" s="887">
        <f t="shared" si="136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7"/>
        <v>0</v>
      </c>
      <c r="M300" s="887">
        <f t="shared" ca="1" si="137"/>
        <v>0</v>
      </c>
      <c r="N300" s="887">
        <f t="shared" ca="1" si="137"/>
        <v>0</v>
      </c>
      <c r="O300" s="887">
        <f t="shared" ca="1" si="135"/>
        <v>0</v>
      </c>
      <c r="P300" s="887">
        <f t="shared" ca="1" si="136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8">L302+L303</f>
        <v>0</v>
      </c>
      <c r="M301" s="881">
        <f t="shared" ca="1" si="138"/>
        <v>0</v>
      </c>
      <c r="N301" s="881">
        <f t="shared" ca="1" si="138"/>
        <v>0</v>
      </c>
      <c r="O301" s="881">
        <f t="shared" ca="1" si="135"/>
        <v>0</v>
      </c>
      <c r="P301" s="881">
        <f t="shared" ca="1" si="136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5"/>
        <v>0</v>
      </c>
      <c r="P302" s="887">
        <f t="shared" si="136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IFERROR(__xludf.DUMMYFUNCTION("IMPORTRANGE(""https://docs.google.com/spreadsheets/d/1MeEWN-I1oV_STSDYn1IFDPWt_1FKiwhDph83XaGc0o0/edit?usp=sharing"",""งบพรบ!DS79"")"),0)</f>
        <v>0</v>
      </c>
      <c r="M303" s="887">
        <f ca="1">IFERROR(__xludf.DUMMYFUNCTION("IMPORTRANGE(""https://docs.google.com/spreadsheets/d/1MeEWN-I1oV_STSDYn1IFDPWt_1FKiwhDph83XaGc0o0/edit?usp=sharing"",""งบพรบ!DX79"")"),0)</f>
        <v>0</v>
      </c>
      <c r="N303" s="887">
        <f ca="1">IFERROR(__xludf.DUMMYFUNCTION("IMPORTRANGE(""https://docs.google.com/spreadsheets/d/1MeEWN-I1oV_STSDYn1IFDPWt_1FKiwhDph83XaGc0o0/edit?usp=sharing"",""งบพรบ!DZ79"")"),0)</f>
        <v>0</v>
      </c>
      <c r="O303" s="887">
        <f t="shared" ca="1" si="135"/>
        <v>0</v>
      </c>
      <c r="P303" s="887">
        <f t="shared" ca="1" si="136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39">L305+L306</f>
        <v>0</v>
      </c>
      <c r="M304" s="881">
        <f t="shared" ca="1" si="139"/>
        <v>0</v>
      </c>
      <c r="N304" s="881">
        <f t="shared" ca="1" si="139"/>
        <v>0</v>
      </c>
      <c r="O304" s="881">
        <f t="shared" ca="1" si="135"/>
        <v>0</v>
      </c>
      <c r="P304" s="881">
        <f t="shared" ca="1" si="136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5"/>
        <v>0</v>
      </c>
      <c r="P305" s="887">
        <f t="shared" si="136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IFERROR(__xludf.DUMMYFUNCTION("IMPORTRANGE(""https://docs.google.com/spreadsheets/d/1MeEWN-I1oV_STSDYn1IFDPWt_1FKiwhDph83XaGc0o0/edit?usp=sharing"",""งบพรบ!DV79"")"),0)</f>
        <v>0</v>
      </c>
      <c r="M306" s="887">
        <f ca="1">IFERROR(__xludf.DUMMYFUNCTION("IMPORTRANGE(""https://docs.google.com/spreadsheets/d/1MeEWN-I1oV_STSDYn1IFDPWt_1FKiwhDph83XaGc0o0/edit?usp=sharing"",""งบพรบ!DY79"")"),0)</f>
        <v>0</v>
      </c>
      <c r="N306" s="887">
        <f ca="1">IFERROR(__xludf.DUMMYFUNCTION("IMPORTRANGE(""https://docs.google.com/spreadsheets/d/1MeEWN-I1oV_STSDYn1IFDPWt_1FKiwhDph83XaGc0o0/edit?usp=sharing"",""งบพรบ!EA79"")"),0)</f>
        <v>0</v>
      </c>
      <c r="O306" s="887">
        <f t="shared" ca="1" si="135"/>
        <v>0</v>
      </c>
      <c r="P306" s="887">
        <f t="shared" ca="1" si="136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IFERROR(__xludf.DUMMYFUNCTION("IMPORTRANGE(""https://docs.google.com/spreadsheets/d/1QqKyyYR6Q21VydFLVH3TRQUabQu_ym0Zz7PgGX0-kHA/edit?usp=sharing"",""แผน!ED79"")"),0)</f>
        <v>0</v>
      </c>
      <c r="J309" s="1012">
        <v>0</v>
      </c>
      <c r="K309" s="881">
        <f t="shared" ref="K309:K312" ca="1" si="140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IFERROR(__xludf.DUMMYFUNCTION("IMPORTRANGE(""https://docs.google.com/spreadsheets/d/1QqKyyYR6Q21VydFLVH3TRQUabQu_ym0Zz7PgGX0-kHA/edit?usp=sharing"",""แผน!ED79"")"),0)</f>
        <v>0</v>
      </c>
      <c r="J310" s="1012">
        <v>0</v>
      </c>
      <c r="K310" s="881">
        <f t="shared" ca="1" si="140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IFERROR(__xludf.DUMMYFUNCTION("IMPORTRANGE(""https://docs.google.com/spreadsheets/d/1QqKyyYR6Q21VydFLVH3TRQUabQu_ym0Zz7PgGX0-kHA/edit?usp=sharing"",""แผน!ED79"")"),0)</f>
        <v>0</v>
      </c>
      <c r="J311" s="1012">
        <v>0</v>
      </c>
      <c r="K311" s="881">
        <f t="shared" ca="1" si="140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IFERROR(__xludf.DUMMYFUNCTION("IMPORTRANGE(""https://docs.google.com/spreadsheets/d/1QqKyyYR6Q21VydFLVH3TRQUabQu_ym0Zz7PgGX0-kHA/edit?usp=sharing"",""แผน!EE79"")"),0)</f>
        <v>0</v>
      </c>
      <c r="J312" s="1012">
        <v>0</v>
      </c>
      <c r="K312" s="881">
        <f t="shared" ca="1" si="140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1">I325</f>
        <v>0</v>
      </c>
      <c r="J314" s="1190">
        <f t="shared" si="141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2">L316+L317</f>
        <v>0</v>
      </c>
      <c r="M315" s="992">
        <f t="shared" ca="1" si="142"/>
        <v>0</v>
      </c>
      <c r="N315" s="992">
        <f t="shared" ca="1" si="142"/>
        <v>0</v>
      </c>
      <c r="O315" s="992">
        <f t="shared" ref="O315:O323" ca="1" si="143">IF(L315&gt;0,N315*100/L315,0)</f>
        <v>0</v>
      </c>
      <c r="P315" s="992">
        <f t="shared" ref="P315:P323" ca="1" si="144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5">L319+L322</f>
        <v>0</v>
      </c>
      <c r="M316" s="887">
        <f t="shared" si="145"/>
        <v>0</v>
      </c>
      <c r="N316" s="887">
        <f t="shared" si="145"/>
        <v>0</v>
      </c>
      <c r="O316" s="887">
        <f t="shared" si="143"/>
        <v>0</v>
      </c>
      <c r="P316" s="887">
        <f t="shared" si="144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5"/>
        <v>0</v>
      </c>
      <c r="M317" s="887">
        <f t="shared" ca="1" si="145"/>
        <v>0</v>
      </c>
      <c r="N317" s="887">
        <f t="shared" ca="1" si="145"/>
        <v>0</v>
      </c>
      <c r="O317" s="887">
        <f t="shared" ca="1" si="143"/>
        <v>0</v>
      </c>
      <c r="P317" s="887">
        <f t="shared" ca="1" si="144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6">L319+L320</f>
        <v>0</v>
      </c>
      <c r="M318" s="881">
        <f t="shared" ca="1" si="146"/>
        <v>0</v>
      </c>
      <c r="N318" s="881">
        <f t="shared" ca="1" si="146"/>
        <v>0</v>
      </c>
      <c r="O318" s="881">
        <f t="shared" ca="1" si="143"/>
        <v>0</v>
      </c>
      <c r="P318" s="881">
        <f t="shared" ca="1" si="144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3"/>
        <v>0</v>
      </c>
      <c r="P319" s="887">
        <f t="shared" si="144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IFERROR(__xludf.DUMMYFUNCTION("IMPORTRANGE(""https://docs.google.com/spreadsheets/d/1MeEWN-I1oV_STSDYn1IFDPWt_1FKiwhDph83XaGc0o0/edit?usp=sharing"",""งบพรบ!EC79"")"),0)</f>
        <v>0</v>
      </c>
      <c r="M320" s="887">
        <f ca="1">IFERROR(__xludf.DUMMYFUNCTION("IMPORTRANGE(""https://docs.google.com/spreadsheets/d/1MeEWN-I1oV_STSDYn1IFDPWt_1FKiwhDph83XaGc0o0/edit?usp=sharing"",""งบพรบ!EH79"")"),0)</f>
        <v>0</v>
      </c>
      <c r="N320" s="887">
        <f ca="1">IFERROR(__xludf.DUMMYFUNCTION("IMPORTRANGE(""https://docs.google.com/spreadsheets/d/1MeEWN-I1oV_STSDYn1IFDPWt_1FKiwhDph83XaGc0o0/edit?usp=sharing"",""งบพรบ!EJ79"")"),0)</f>
        <v>0</v>
      </c>
      <c r="O320" s="887">
        <f t="shared" ca="1" si="143"/>
        <v>0</v>
      </c>
      <c r="P320" s="887">
        <f t="shared" ca="1" si="144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7">L322+L323</f>
        <v>0</v>
      </c>
      <c r="M321" s="881">
        <f t="shared" ca="1" si="147"/>
        <v>0</v>
      </c>
      <c r="N321" s="881">
        <f t="shared" ca="1" si="147"/>
        <v>0</v>
      </c>
      <c r="O321" s="881">
        <f t="shared" ca="1" si="143"/>
        <v>0</v>
      </c>
      <c r="P321" s="881">
        <f t="shared" ca="1" si="144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3"/>
        <v>0</v>
      </c>
      <c r="P322" s="887">
        <f t="shared" si="144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IFERROR(__xludf.DUMMYFUNCTION("IMPORTRANGE(""https://docs.google.com/spreadsheets/d/1MeEWN-I1oV_STSDYn1IFDPWt_1FKiwhDph83XaGc0o0/edit?usp=sharing"",""งบพรบ!EF79"")"),0)</f>
        <v>0</v>
      </c>
      <c r="M323" s="887">
        <f ca="1">IFERROR(__xludf.DUMMYFUNCTION("IMPORTRANGE(""https://docs.google.com/spreadsheets/d/1MeEWN-I1oV_STSDYn1IFDPWt_1FKiwhDph83XaGc0o0/edit?usp=sharing"",""งบพรบ!EI79"")"),0)</f>
        <v>0</v>
      </c>
      <c r="N323" s="887">
        <f ca="1">IFERROR(__xludf.DUMMYFUNCTION("IMPORTRANGE(""https://docs.google.com/spreadsheets/d/1MeEWN-I1oV_STSDYn1IFDPWt_1FKiwhDph83XaGc0o0/edit?usp=sharing"",""งบพรบ!EK79"")"),0)</f>
        <v>0</v>
      </c>
      <c r="O323" s="887">
        <f t="shared" ca="1" si="143"/>
        <v>0</v>
      </c>
      <c r="P323" s="887">
        <f t="shared" ca="1" si="144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IFERROR(__xludf.DUMMYFUNCTION("IMPORTRANGE(""https://docs.google.com/spreadsheets/d/1QqKyyYR6Q21VydFLVH3TRQUabQu_ym0Zz7PgGX0-kHA/edit?usp=sharing"",""แผน!EF79"")"),0)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IFERROR(__xludf.DUMMYFUNCTION("IMPORTRANGE(""https://docs.google.com/spreadsheets/d/1QqKyyYR6Q21VydFLVH3TRQUabQu_ym0Zz7PgGX0-kHA/edit?usp=sharing"",""แผน!EG79"")"),300)</f>
        <v>300</v>
      </c>
      <c r="J327" s="1190">
        <f ca="1">J338+J341+J342+J343</f>
        <v>460</v>
      </c>
      <c r="K327" s="1191">
        <f ca="1">IF(I327&gt;0,J327*100/I327,0)</f>
        <v>153.33333333333334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8">L329+L330</f>
        <v>157000</v>
      </c>
      <c r="M328" s="992">
        <f t="shared" ca="1" si="148"/>
        <v>120250</v>
      </c>
      <c r="N328" s="992">
        <f t="shared" ca="1" si="148"/>
        <v>83578</v>
      </c>
      <c r="O328" s="992">
        <f t="shared" ref="O328:O336" ca="1" si="149">IF(L328&gt;0,N328*100/L328,0)</f>
        <v>53.234394904458597</v>
      </c>
      <c r="P328" s="992">
        <f t="shared" ref="P328:P336" ca="1" si="150">IF(M328&gt;0,N328*100/M328,0)</f>
        <v>69.503534303534309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1">L332+L335</f>
        <v>0</v>
      </c>
      <c r="M329" s="887">
        <f t="shared" si="151"/>
        <v>0</v>
      </c>
      <c r="N329" s="887">
        <f t="shared" si="151"/>
        <v>0</v>
      </c>
      <c r="O329" s="887">
        <f t="shared" si="149"/>
        <v>0</v>
      </c>
      <c r="P329" s="887">
        <f t="shared" si="150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1"/>
        <v>157000</v>
      </c>
      <c r="M330" s="887">
        <f t="shared" ca="1" si="151"/>
        <v>120250</v>
      </c>
      <c r="N330" s="887">
        <f t="shared" ca="1" si="151"/>
        <v>83578</v>
      </c>
      <c r="O330" s="887">
        <f t="shared" ca="1" si="149"/>
        <v>53.234394904458597</v>
      </c>
      <c r="P330" s="887">
        <f t="shared" ca="1" si="150"/>
        <v>69.503534303534309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2">L332+L333</f>
        <v>157000</v>
      </c>
      <c r="M331" s="881">
        <f t="shared" ca="1" si="152"/>
        <v>120250</v>
      </c>
      <c r="N331" s="881">
        <f t="shared" ca="1" si="152"/>
        <v>83578</v>
      </c>
      <c r="O331" s="881">
        <f t="shared" ca="1" si="149"/>
        <v>53.234394904458597</v>
      </c>
      <c r="P331" s="881">
        <f t="shared" ca="1" si="150"/>
        <v>69.503534303534309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49"/>
        <v>0</v>
      </c>
      <c r="P332" s="887">
        <f t="shared" si="150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IFERROR(__xludf.DUMMYFUNCTION("IMPORTRANGE(""https://docs.google.com/spreadsheets/d/1MeEWN-I1oV_STSDYn1IFDPWt_1FKiwhDph83XaGc0o0/edit?usp=sharing"",""งบพรบ!EM79"")"),157000)</f>
        <v>157000</v>
      </c>
      <c r="M333" s="887">
        <f ca="1">IFERROR(__xludf.DUMMYFUNCTION("IMPORTRANGE(""https://docs.google.com/spreadsheets/d/1MeEWN-I1oV_STSDYn1IFDPWt_1FKiwhDph83XaGc0o0/edit?usp=sharing"",""งบพรบ!ER79"")"),120250)</f>
        <v>120250</v>
      </c>
      <c r="N333" s="887">
        <f ca="1">IFERROR(__xludf.DUMMYFUNCTION("IMPORTRANGE(""https://docs.google.com/spreadsheets/d/1MeEWN-I1oV_STSDYn1IFDPWt_1FKiwhDph83XaGc0o0/edit?usp=sharing"",""งบพรบ!ET79"")"),83578)</f>
        <v>83578</v>
      </c>
      <c r="O333" s="887">
        <f t="shared" ca="1" si="149"/>
        <v>53.234394904458597</v>
      </c>
      <c r="P333" s="887">
        <f t="shared" ca="1" si="150"/>
        <v>69.503534303534309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3">L335+L336</f>
        <v>0</v>
      </c>
      <c r="M334" s="881">
        <f t="shared" ca="1" si="153"/>
        <v>0</v>
      </c>
      <c r="N334" s="881">
        <f t="shared" ca="1" si="153"/>
        <v>0</v>
      </c>
      <c r="O334" s="881">
        <f t="shared" ca="1" si="149"/>
        <v>0</v>
      </c>
      <c r="P334" s="881">
        <f t="shared" ca="1" si="150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49"/>
        <v>0</v>
      </c>
      <c r="P335" s="887">
        <f t="shared" si="150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IFERROR(__xludf.DUMMYFUNCTION("IMPORTRANGE(""https://docs.google.com/spreadsheets/d/1MeEWN-I1oV_STSDYn1IFDPWt_1FKiwhDph83XaGc0o0/edit?usp=sharing"",""งบพรบ!EP79"")"),0)</f>
        <v>0</v>
      </c>
      <c r="M336" s="887">
        <f ca="1">IFERROR(__xludf.DUMMYFUNCTION("IMPORTRANGE(""https://docs.google.com/spreadsheets/d/1MeEWN-I1oV_STSDYn1IFDPWt_1FKiwhDph83XaGc0o0/edit?usp=sharing"",""งบพรบ!ES79"")"),0)</f>
        <v>0</v>
      </c>
      <c r="N336" s="887">
        <f ca="1">IFERROR(__xludf.DUMMYFUNCTION("IMPORTRANGE(""https://docs.google.com/spreadsheets/d/1MeEWN-I1oV_STSDYn1IFDPWt_1FKiwhDph83XaGc0o0/edit?usp=sharing"",""งบพรบ!EU79"")"),0)</f>
        <v>0</v>
      </c>
      <c r="O336" s="887">
        <f t="shared" ca="1" si="149"/>
        <v>0</v>
      </c>
      <c r="P336" s="887">
        <f t="shared" ca="1" si="150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IFERROR(__xludf.DUMMYFUNCTION("IMPORTRANGE(""https://docs.google.com/spreadsheets/d/1QqKyyYR6Q21VydFLVH3TRQUabQu_ym0Zz7PgGX0-kHA/edit?usp=sharing"",""แผน!EG79"")"),300)</f>
        <v>300</v>
      </c>
      <c r="J338" s="880">
        <f ca="1">IFERROR(__xludf.DUMMYFUNCTION("IMPORTRANGE(""https://docs.google.com/spreadsheets/d/1kVcqe37tkHyjCSG3S0O1AXqVkqjo8mSIZil3BcpIysc/edit?usp=sharing"",""ศูนย์!D79"")"),225)</f>
        <v>225</v>
      </c>
      <c r="K338" s="881">
        <f ca="1">IF(I338&gt;0,J338*100/I338,0)</f>
        <v>75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IFERROR(__xludf.DUMMYFUNCTION("IMPORTRANGE(""https://docs.google.com/spreadsheets/d/1QqKyyYR6Q21VydFLVH3TRQUabQu_ym0Zz7PgGX0-kHA/edit?usp=sharing"",""แผน!EH73"")"),2)</f>
        <v>2</v>
      </c>
      <c r="J340" s="880">
        <f ca="1">IFERROR(__xludf.DUMMYFUNCTION("IMPORTRANGE(""https://docs.google.com/spreadsheets/d/1kVcqe37tkHyjCSG3S0O1AXqVkqjo8mSIZil3BcpIysc/edit?usp=sharing"",""ศูนย์!E79"")"),2)</f>
        <v>2</v>
      </c>
      <c r="K340" s="881">
        <f ca="1">IF(I340&gt;0,J340*100/I340,0)</f>
        <v>100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IFERROR(__xludf.DUMMYFUNCTION("IMPORTRANGE(""https://docs.google.com/spreadsheets/d/1kVcqe37tkHyjCSG3S0O1AXqVkqjo8mSIZil3BcpIysc/edit?usp=sharing"",""ศูนย์!F79"")"),235)</f>
        <v>235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IFERROR(__xludf.DUMMYFUNCTION("IMPORTRANGE(""https://docs.google.com/spreadsheets/d/1kVcqe37tkHyjCSG3S0O1AXqVkqjo8mSIZil3BcpIysc/edit?usp=sharing"",""ศูนย์!G79"")"),0)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IFERROR(__xludf.DUMMYFUNCTION("IMPORTRANGE(""https://docs.google.com/spreadsheets/d/1kVcqe37tkHyjCSG3S0O1AXqVkqjo8mSIZil3BcpIysc/edit?usp=sharing"",""ศูนย์!H79"")"),0)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4">L346+L347</f>
        <v>396570</v>
      </c>
      <c r="M345" s="992">
        <f t="shared" ca="1" si="154"/>
        <v>321980</v>
      </c>
      <c r="N345" s="992">
        <f t="shared" ca="1" si="154"/>
        <v>239553.8</v>
      </c>
      <c r="O345" s="992">
        <f t="shared" ref="O345:O353" ca="1" si="155">IF(L345&gt;0,N345*100/L345,0)</f>
        <v>60.40643518168293</v>
      </c>
      <c r="P345" s="992">
        <f t="shared" ref="P345:P353" ca="1" si="156">IF(M345&gt;0,N345*100/M345,0)</f>
        <v>74.400211193241816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7">L349+L352</f>
        <v>0</v>
      </c>
      <c r="M346" s="887">
        <f t="shared" si="157"/>
        <v>0</v>
      </c>
      <c r="N346" s="887">
        <f t="shared" si="157"/>
        <v>0</v>
      </c>
      <c r="O346" s="887">
        <f t="shared" si="155"/>
        <v>0</v>
      </c>
      <c r="P346" s="887">
        <f t="shared" si="156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7"/>
        <v>396570</v>
      </c>
      <c r="M347" s="887">
        <f t="shared" ca="1" si="157"/>
        <v>321980</v>
      </c>
      <c r="N347" s="887">
        <f t="shared" ca="1" si="157"/>
        <v>239553.8</v>
      </c>
      <c r="O347" s="887">
        <f t="shared" ca="1" si="155"/>
        <v>60.40643518168293</v>
      </c>
      <c r="P347" s="887">
        <f t="shared" ca="1" si="156"/>
        <v>74.400211193241816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8">L349+L350</f>
        <v>305770</v>
      </c>
      <c r="M348" s="881">
        <f t="shared" ca="1" si="158"/>
        <v>231180</v>
      </c>
      <c r="N348" s="881">
        <f t="shared" ca="1" si="158"/>
        <v>148753.79999999999</v>
      </c>
      <c r="O348" s="881">
        <f t="shared" ca="1" si="155"/>
        <v>48.648919122216036</v>
      </c>
      <c r="P348" s="881">
        <f t="shared" ca="1" si="156"/>
        <v>64.345445107708272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5"/>
        <v>0</v>
      </c>
      <c r="P349" s="887">
        <f t="shared" si="156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IFERROR(__xludf.DUMMYFUNCTION("IMPORTRANGE(""https://docs.google.com/spreadsheets/d/1MeEWN-I1oV_STSDYn1IFDPWt_1FKiwhDph83XaGc0o0/edit?usp=sharing"",""งบพรบ!EW79"")"),305770)</f>
        <v>305770</v>
      </c>
      <c r="M350" s="887">
        <f ca="1">IFERROR(__xludf.DUMMYFUNCTION("IMPORTRANGE(""https://docs.google.com/spreadsheets/d/1MeEWN-I1oV_STSDYn1IFDPWt_1FKiwhDph83XaGc0o0/edit?usp=sharing"",""งบพรบ!FB79"")"),231180)</f>
        <v>231180</v>
      </c>
      <c r="N350" s="887">
        <f ca="1">IFERROR(__xludf.DUMMYFUNCTION("IMPORTRANGE(""https://docs.google.com/spreadsheets/d/1MeEWN-I1oV_STSDYn1IFDPWt_1FKiwhDph83XaGc0o0/edit?usp=sharing"",""งบพรบ!FD79"")"),148753.8)</f>
        <v>148753.79999999999</v>
      </c>
      <c r="O350" s="887">
        <f t="shared" ca="1" si="155"/>
        <v>48.648919122216036</v>
      </c>
      <c r="P350" s="887">
        <f t="shared" ca="1" si="156"/>
        <v>64.345445107708272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59">L352+L353</f>
        <v>90800</v>
      </c>
      <c r="M351" s="881">
        <f t="shared" ca="1" si="159"/>
        <v>90800</v>
      </c>
      <c r="N351" s="881">
        <f t="shared" ca="1" si="159"/>
        <v>90800</v>
      </c>
      <c r="O351" s="881">
        <f t="shared" ca="1" si="155"/>
        <v>100</v>
      </c>
      <c r="P351" s="881">
        <f t="shared" ca="1" si="156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5"/>
        <v>0</v>
      </c>
      <c r="P352" s="887">
        <f t="shared" si="156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IFERROR(__xludf.DUMMYFUNCTION("IMPORTRANGE(""https://docs.google.com/spreadsheets/d/1MeEWN-I1oV_STSDYn1IFDPWt_1FKiwhDph83XaGc0o0/edit?usp=sharing"",""งบพรบ!EZ79"")"),90800)</f>
        <v>90800</v>
      </c>
      <c r="M353" s="887">
        <f ca="1">IFERROR(__xludf.DUMMYFUNCTION("IMPORTRANGE(""https://docs.google.com/spreadsheets/d/1MeEWN-I1oV_STSDYn1IFDPWt_1FKiwhDph83XaGc0o0/edit?usp=sharing"",""งบพรบ!FC79"")"),90800)</f>
        <v>90800</v>
      </c>
      <c r="N353" s="887">
        <f ca="1">IFERROR(__xludf.DUMMYFUNCTION("IMPORTRANGE(""https://docs.google.com/spreadsheets/d/1MeEWN-I1oV_STSDYn1IFDPWt_1FKiwhDph83XaGc0o0/edit?usp=sharing"",""งบพรบ!FE79"")"),90800)</f>
        <v>90800</v>
      </c>
      <c r="O353" s="887">
        <f t="shared" ca="1" si="155"/>
        <v>100</v>
      </c>
      <c r="P353" s="887">
        <f t="shared" ca="1" si="156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IFERROR(__xludf.DUMMYFUNCTION("IMPORTRANGE(""https://docs.google.com/spreadsheets/d/1QqKyyYR6Q21VydFLVH3TRQUabQu_ym0Zz7PgGX0-kHA/edit?usp=sharing"",""แผน!EP79"")"),27)</f>
        <v>27</v>
      </c>
      <c r="J355" s="1206">
        <f ca="1">J362</f>
        <v>17</v>
      </c>
      <c r="K355" s="1207">
        <f ca="1">IF(I355&gt;0,J355*100/I355,0)</f>
        <v>62.962962962962962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IFERROR(__xludf.DUMMYFUNCTION("IMPORTRANGE(""https://docs.google.com/spreadsheets/d/1XWAQStnk-4SwqDmLtmXYiTMKHgktTP8We1SCoS47DrQ/edit?usp=sharing"",""จัดที่ดิน!W79"")"),26)</f>
        <v>26</v>
      </c>
      <c r="K358" s="881">
        <f t="shared" ref="K358:K365" si="160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IFERROR(__xludf.DUMMYFUNCTION("IMPORTRANGE(""https://docs.google.com/spreadsheets/d/1QqKyyYR6Q21VydFLVH3TRQUabQu_ym0Zz7PgGX0-kHA/edit?usp=sharing"",""แผน!EO79"")"),90)</f>
        <v>90</v>
      </c>
      <c r="J359" s="880">
        <f ca="1">IFERROR(__xludf.DUMMYFUNCTION("IMPORTRANGE(""https://docs.google.com/spreadsheets/d/1XWAQStnk-4SwqDmLtmXYiTMKHgktTP8We1SCoS47DrQ/edit?usp=sharing"",""จัดที่ดิน!X79"")"),71.96)</f>
        <v>71.959999999999994</v>
      </c>
      <c r="K359" s="881">
        <f t="shared" ca="1" si="160"/>
        <v>79.955555555555549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IFERROR(__xludf.DUMMYFUNCTION("IMPORTRANGE(""https://docs.google.com/spreadsheets/d/1QqKyyYR6Q21VydFLVH3TRQUabQu_ym0Zz7PgGX0-kHA/edit?usp=sharing"",""แผน!EP79"")"),27)</f>
        <v>27</v>
      </c>
      <c r="J360" s="880">
        <f ca="1">IFERROR(__xludf.DUMMYFUNCTION("IMPORTRANGE(""https://docs.google.com/spreadsheets/d/1XWAQStnk-4SwqDmLtmXYiTMKHgktTP8We1SCoS47DrQ/edit?usp=sharing"",""จัดที่ดิน!Y79"")"),27)</f>
        <v>27</v>
      </c>
      <c r="K360" s="881">
        <f t="shared" ca="1" si="160"/>
        <v>100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IFERROR(__xludf.DUMMYFUNCTION("IMPORTRANGE(""https://docs.google.com/spreadsheets/d/1XWAQStnk-4SwqDmLtmXYiTMKHgktTP8We1SCoS47DrQ/edit?usp=sharing"",""จัดที่ดิน!Z79"")"),66.46)</f>
        <v>66.459999999999994</v>
      </c>
      <c r="K361" s="881">
        <f t="shared" si="160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IFERROR(__xludf.DUMMYFUNCTION("IMPORTRANGE(""https://docs.google.com/spreadsheets/d/1QqKyyYR6Q21VydFLVH3TRQUabQu_ym0Zz7PgGX0-kHA/edit?usp=sharing"",""แผน!EP79"")"),27)</f>
        <v>27</v>
      </c>
      <c r="J362" s="880">
        <f ca="1">IFERROR(__xludf.DUMMYFUNCTION("IMPORTRANGE(""https://docs.google.com/spreadsheets/d/1XWAQStnk-4SwqDmLtmXYiTMKHgktTP8We1SCoS47DrQ/edit?usp=sharing"",""จัดที่ดิน!AA79"")"),17)</f>
        <v>17</v>
      </c>
      <c r="K362" s="881">
        <f t="shared" ca="1" si="160"/>
        <v>62.962962962962962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IFERROR(__xludf.DUMMYFUNCTION("IMPORTRANGE(""https://docs.google.com/spreadsheets/d/1XWAQStnk-4SwqDmLtmXYiTMKHgktTP8We1SCoS47DrQ/edit?usp=sharing"",""จัดที่ดิน!AB79"")"),33.17)</f>
        <v>33.17</v>
      </c>
      <c r="K363" s="881">
        <f t="shared" si="160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1">I365+I374</f>
        <v>42</v>
      </c>
      <c r="J364" s="1219">
        <f t="shared" ca="1" si="161"/>
        <v>28</v>
      </c>
      <c r="K364" s="1220">
        <f t="shared" ca="1" si="160"/>
        <v>66.666666666666671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IFERROR(__xludf.DUMMYFUNCTION("IMPORTRANGE(""https://docs.google.com/spreadsheets/d/1QqKyyYR6Q21VydFLVH3TRQUabQu_ym0Zz7PgGX0-kHA/edit?usp=sharing"",""แผน!EJ79"")"),17)</f>
        <v>17</v>
      </c>
      <c r="J365" s="1227">
        <f ca="1">J372</f>
        <v>14</v>
      </c>
      <c r="K365" s="1228">
        <f t="shared" ca="1" si="160"/>
        <v>82.352941176470594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IFERROR(__xludf.DUMMYFUNCTION("IMPORTRANGE(""https://docs.google.com/spreadsheets/d/1XWAQStnk-4SwqDmLtmXYiTMKHgktTP8We1SCoS47DrQ/edit?usp=sharing"",""จัดที่ดิน!E79"")"),17)</f>
        <v>17</v>
      </c>
      <c r="K368" s="881">
        <f t="shared" ref="K368:K374" si="162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IFERROR(__xludf.DUMMYFUNCTION("IMPORTRANGE(""https://docs.google.com/spreadsheets/d/1QqKyyYR6Q21VydFLVH3TRQUabQu_ym0Zz7PgGX0-kHA/edit?usp=sharing"",""แผน!EI79"")"),50)</f>
        <v>50</v>
      </c>
      <c r="J369" s="880">
        <f ca="1">IFERROR(__xludf.DUMMYFUNCTION("IMPORTRANGE(""https://docs.google.com/spreadsheets/d/1XWAQStnk-4SwqDmLtmXYiTMKHgktTP8We1SCoS47DrQ/edit?usp=sharing"",""จัดที่ดิน!F79"")"),50.55)</f>
        <v>50.55</v>
      </c>
      <c r="K369" s="881">
        <f t="shared" ca="1" si="162"/>
        <v>101.1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IFERROR(__xludf.DUMMYFUNCTION("IMPORTRANGE(""https://docs.google.com/spreadsheets/d/1QqKyyYR6Q21VydFLVH3TRQUabQu_ym0Zz7PgGX0-kHA/edit?usp=sharing"",""แผน!EJ79"")"),17)</f>
        <v>17</v>
      </c>
      <c r="J370" s="880">
        <f ca="1">IFERROR(__xludf.DUMMYFUNCTION("IMPORTRANGE(""https://docs.google.com/spreadsheets/d/1XWAQStnk-4SwqDmLtmXYiTMKHgktTP8We1SCoS47DrQ/edit?usp=sharing"",""จัดที่ดิน!G79"")"),17)</f>
        <v>17</v>
      </c>
      <c r="K370" s="881">
        <f t="shared" ca="1" si="162"/>
        <v>100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IFERROR(__xludf.DUMMYFUNCTION("IMPORTRANGE(""https://docs.google.com/spreadsheets/d/1XWAQStnk-4SwqDmLtmXYiTMKHgktTP8We1SCoS47DrQ/edit?usp=sharing"",""จัดที่ดิน!H79"")"),43.81)</f>
        <v>43.81</v>
      </c>
      <c r="K371" s="881">
        <f t="shared" si="162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IFERROR(__xludf.DUMMYFUNCTION("IMPORTRANGE(""https://docs.google.com/spreadsheets/d/1QqKyyYR6Q21VydFLVH3TRQUabQu_ym0Zz7PgGX0-kHA/edit?usp=sharing"",""แผน!EJ79"")"),17)</f>
        <v>17</v>
      </c>
      <c r="J372" s="880">
        <f ca="1">IFERROR(__xludf.DUMMYFUNCTION("IMPORTRANGE(""https://docs.google.com/spreadsheets/d/1XWAQStnk-4SwqDmLtmXYiTMKHgktTP8We1SCoS47DrQ/edit?usp=sharing"",""จัดที่ดิน!I79"")"),14)</f>
        <v>14</v>
      </c>
      <c r="K372" s="881">
        <f t="shared" ca="1" si="162"/>
        <v>82.352941176470594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IFERROR(__xludf.DUMMYFUNCTION("IMPORTRANGE(""https://docs.google.com/spreadsheets/d/1XWAQStnk-4SwqDmLtmXYiTMKHgktTP8We1SCoS47DrQ/edit?usp=sharing"",""จัดที่ดิน!J79"")"),29.59)</f>
        <v>29.59</v>
      </c>
      <c r="K373" s="881">
        <f t="shared" si="162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IFERROR(__xludf.DUMMYFUNCTION("IMPORTRANGE(""https://docs.google.com/spreadsheets/d/1QqKyyYR6Q21VydFLVH3TRQUabQu_ym0Zz7PgGX0-kHA/edit?usp=sharing"",""แผน!EU79"")"),25)</f>
        <v>25</v>
      </c>
      <c r="J374" s="1227">
        <f ca="1">J381</f>
        <v>14</v>
      </c>
      <c r="K374" s="1228">
        <f t="shared" ca="1" si="162"/>
        <v>56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IFERROR(__xludf.DUMMYFUNCTION("IMPORTRANGE(""https://docs.google.com/spreadsheets/d/1XWAQStnk-4SwqDmLtmXYiTMKHgktTP8We1SCoS47DrQ/edit?usp=sharing"",""จัดที่ดิน!AH79"")"),9)</f>
        <v>9</v>
      </c>
      <c r="K377" s="881">
        <f t="shared" ref="K377:K382" si="163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IFERROR(__xludf.DUMMYFUNCTION("IMPORTRANGE(""https://docs.google.com/spreadsheets/d/1QqKyyYR6Q21VydFLVH3TRQUabQu_ym0Zz7PgGX0-kHA/edit?usp=sharing"",""แผน!ET79"")"),40)</f>
        <v>40</v>
      </c>
      <c r="J378" s="880">
        <f ca="1">IFERROR(__xludf.DUMMYFUNCTION("IMPORTRANGE(""https://docs.google.com/spreadsheets/d/1XWAQStnk-4SwqDmLtmXYiTMKHgktTP8We1SCoS47DrQ/edit?usp=sharing"",""จัดที่ดิน!AI79"")"),21.41)</f>
        <v>21.41</v>
      </c>
      <c r="K378" s="881">
        <f t="shared" ca="1" si="163"/>
        <v>53.524999999999999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IFERROR(__xludf.DUMMYFUNCTION("IMPORTRANGE(""https://docs.google.com/spreadsheets/d/1QqKyyYR6Q21VydFLVH3TRQUabQu_ym0Zz7PgGX0-kHA/edit?usp=sharing"",""แผน!EU79"")"),25)</f>
        <v>25</v>
      </c>
      <c r="J379" s="880">
        <f ca="1">IFERROR(__xludf.DUMMYFUNCTION("IMPORTRANGE(""https://docs.google.com/spreadsheets/d/1XWAQStnk-4SwqDmLtmXYiTMKHgktTP8We1SCoS47DrQ/edit?usp=sharing"",""จัดที่ดิน!AJ79"")"),21)</f>
        <v>21</v>
      </c>
      <c r="K379" s="881">
        <f t="shared" ca="1" si="163"/>
        <v>84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IFERROR(__xludf.DUMMYFUNCTION("IMPORTRANGE(""https://docs.google.com/spreadsheets/d/1XWAQStnk-4SwqDmLtmXYiTMKHgktTP8We1SCoS47DrQ/edit?usp=sharing"",""จัดที่ดิน!AK79"")"),78.18)</f>
        <v>78.180000000000007</v>
      </c>
      <c r="K380" s="881">
        <f t="shared" si="163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IFERROR(__xludf.DUMMYFUNCTION("IMPORTRANGE(""https://docs.google.com/spreadsheets/d/1QqKyyYR6Q21VydFLVH3TRQUabQu_ym0Zz7PgGX0-kHA/edit?usp=sharing"",""แผน!EU79"")"),25)</f>
        <v>25</v>
      </c>
      <c r="J381" s="880">
        <f ca="1">IFERROR(__xludf.DUMMYFUNCTION("IMPORTRANGE(""https://docs.google.com/spreadsheets/d/1XWAQStnk-4SwqDmLtmXYiTMKHgktTP8We1SCoS47DrQ/edit?usp=sharing"",""จัดที่ดิน!AL79"")"),14)</f>
        <v>14</v>
      </c>
      <c r="K381" s="881">
        <f t="shared" ca="1" si="163"/>
        <v>56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IFERROR(__xludf.DUMMYFUNCTION("IMPORTRANGE(""https://docs.google.com/spreadsheets/d/1XWAQStnk-4SwqDmLtmXYiTMKHgktTP8We1SCoS47DrQ/edit?usp=sharing"",""จัดที่ดิน!AM79"")"),59.11)</f>
        <v>59.11</v>
      </c>
      <c r="K382" s="881">
        <f t="shared" si="163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IFERROR(__xludf.DUMMYFUNCTION("IMPORTRANGE(""https://docs.google.com/spreadsheets/d/1QqKyyYR6Q21VydFLVH3TRQUabQu_ym0Zz7PgGX0-kHA/edit?usp=sharing"",""แผน!EW79"")"),0)</f>
        <v>0</v>
      </c>
      <c r="J385" s="1138">
        <f ca="1">IFERROR(__xludf.DUMMYFUNCTION("IMPORTRANGE(""https://docs.google.com/spreadsheets/d/1XWAQStnk-4SwqDmLtmXYiTMKHgktTP8We1SCoS47DrQ/edit?usp=sharing"",""จัดที่ดิน!AP79"")"),0)</f>
        <v>0</v>
      </c>
      <c r="K385" s="1239">
        <f ca="1">IF(I385&gt;0,J385*100/I385,0)</f>
        <v>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4">I400</f>
        <v>0</v>
      </c>
      <c r="J388" s="1258">
        <f t="shared" si="164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5">L390+L391</f>
        <v>0</v>
      </c>
      <c r="M389" s="992">
        <f t="shared" ca="1" si="165"/>
        <v>0</v>
      </c>
      <c r="N389" s="992">
        <f t="shared" ca="1" si="165"/>
        <v>0</v>
      </c>
      <c r="O389" s="992">
        <f t="shared" ref="O389:O397" ca="1" si="166">IF(L389&gt;0,N389*100/L389,0)</f>
        <v>0</v>
      </c>
      <c r="P389" s="992">
        <f t="shared" ref="P389:P397" ca="1" si="167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8">L393+L396</f>
        <v>0</v>
      </c>
      <c r="M390" s="887">
        <f t="shared" si="168"/>
        <v>0</v>
      </c>
      <c r="N390" s="887">
        <f t="shared" si="168"/>
        <v>0</v>
      </c>
      <c r="O390" s="887">
        <f t="shared" si="166"/>
        <v>0</v>
      </c>
      <c r="P390" s="887">
        <f t="shared" si="167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8"/>
        <v>0</v>
      </c>
      <c r="M391" s="887">
        <f t="shared" ca="1" si="168"/>
        <v>0</v>
      </c>
      <c r="N391" s="887">
        <f t="shared" ca="1" si="168"/>
        <v>0</v>
      </c>
      <c r="O391" s="887">
        <f t="shared" ca="1" si="166"/>
        <v>0</v>
      </c>
      <c r="P391" s="887">
        <f t="shared" ca="1" si="167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69">L393+L394</f>
        <v>0</v>
      </c>
      <c r="M392" s="881">
        <f t="shared" ca="1" si="169"/>
        <v>0</v>
      </c>
      <c r="N392" s="881">
        <f t="shared" ca="1" si="169"/>
        <v>0</v>
      </c>
      <c r="O392" s="881">
        <f t="shared" ca="1" si="166"/>
        <v>0</v>
      </c>
      <c r="P392" s="881">
        <f t="shared" ca="1" si="167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6"/>
        <v>0</v>
      </c>
      <c r="P393" s="887">
        <f t="shared" si="167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IFERROR(__xludf.DUMMYFUNCTION("IMPORTRANGE(""https://docs.google.com/spreadsheets/d/1MeEWN-I1oV_STSDYn1IFDPWt_1FKiwhDph83XaGc0o0/edit?usp=sharing"",""งบพรบ!FG79"")"),0)</f>
        <v>0</v>
      </c>
      <c r="M394" s="887">
        <f ca="1">IFERROR(__xludf.DUMMYFUNCTION("IMPORTRANGE(""https://docs.google.com/spreadsheets/d/1MeEWN-I1oV_STSDYn1IFDPWt_1FKiwhDph83XaGc0o0/edit?usp=sharing"",""งบพรบ!FL79"")"),0)</f>
        <v>0</v>
      </c>
      <c r="N394" s="887">
        <f ca="1">IFERROR(__xludf.DUMMYFUNCTION("IMPORTRANGE(""https://docs.google.com/spreadsheets/d/1MeEWN-I1oV_STSDYn1IFDPWt_1FKiwhDph83XaGc0o0/edit?usp=sharing"",""งบพรบ!FN79"")"),0)</f>
        <v>0</v>
      </c>
      <c r="O394" s="887">
        <f t="shared" ca="1" si="166"/>
        <v>0</v>
      </c>
      <c r="P394" s="887">
        <f t="shared" ca="1" si="167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0">L396+L397</f>
        <v>0</v>
      </c>
      <c r="M395" s="881">
        <f t="shared" ca="1" si="170"/>
        <v>0</v>
      </c>
      <c r="N395" s="881">
        <f t="shared" ca="1" si="170"/>
        <v>0</v>
      </c>
      <c r="O395" s="881">
        <f t="shared" ca="1" si="166"/>
        <v>0</v>
      </c>
      <c r="P395" s="881">
        <f t="shared" ca="1" si="167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6"/>
        <v>0</v>
      </c>
      <c r="P396" s="887">
        <f t="shared" si="167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IFERROR(__xludf.DUMMYFUNCTION("IMPORTRANGE(""https://docs.google.com/spreadsheets/d/1MeEWN-I1oV_STSDYn1IFDPWt_1FKiwhDph83XaGc0o0/edit?usp=sharing"",""งบพรบ!FJ79"")"),0)</f>
        <v>0</v>
      </c>
      <c r="M397" s="887">
        <f ca="1">IFERROR(__xludf.DUMMYFUNCTION("IMPORTRANGE(""https://docs.google.com/spreadsheets/d/1MeEWN-I1oV_STSDYn1IFDPWt_1FKiwhDph83XaGc0o0/edit?usp=sharing"",""งบพรบ!FM79"")"),0)</f>
        <v>0</v>
      </c>
      <c r="N397" s="887">
        <f ca="1">IFERROR(__xludf.DUMMYFUNCTION("IMPORTRANGE(""https://docs.google.com/spreadsheets/d/1MeEWN-I1oV_STSDYn1IFDPWt_1FKiwhDph83XaGc0o0/edit?usp=sharing"",""งบพรบ!FO79"")"),0)</f>
        <v>0</v>
      </c>
      <c r="O397" s="887">
        <f t="shared" ca="1" si="166"/>
        <v>0</v>
      </c>
      <c r="P397" s="887">
        <f t="shared" ca="1" si="167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1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1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2">I412</f>
        <v>0</v>
      </c>
      <c r="J401" s="1258">
        <f t="shared" si="172"/>
        <v>0</v>
      </c>
      <c r="K401" s="1259">
        <f t="shared" si="171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3">L403+L404</f>
        <v>0</v>
      </c>
      <c r="M402" s="992">
        <f t="shared" ca="1" si="173"/>
        <v>0</v>
      </c>
      <c r="N402" s="992">
        <f t="shared" ca="1" si="173"/>
        <v>0</v>
      </c>
      <c r="O402" s="992">
        <f t="shared" ref="O402:O410" ca="1" si="174">IF(L402&gt;0,N402*100/L402,0)</f>
        <v>0</v>
      </c>
      <c r="P402" s="992">
        <f t="shared" ref="P402:P410" ca="1" si="175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6">L406+L409</f>
        <v>0</v>
      </c>
      <c r="M403" s="887">
        <f t="shared" si="176"/>
        <v>0</v>
      </c>
      <c r="N403" s="887">
        <f t="shared" si="176"/>
        <v>0</v>
      </c>
      <c r="O403" s="887">
        <f t="shared" si="174"/>
        <v>0</v>
      </c>
      <c r="P403" s="887">
        <f t="shared" si="175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6"/>
        <v>0</v>
      </c>
      <c r="M404" s="887">
        <f t="shared" ca="1" si="176"/>
        <v>0</v>
      </c>
      <c r="N404" s="887">
        <f t="shared" ca="1" si="176"/>
        <v>0</v>
      </c>
      <c r="O404" s="887">
        <f t="shared" ca="1" si="174"/>
        <v>0</v>
      </c>
      <c r="P404" s="887">
        <f t="shared" ca="1" si="175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7">L406+L407</f>
        <v>0</v>
      </c>
      <c r="M405" s="881">
        <f t="shared" ca="1" si="177"/>
        <v>0</v>
      </c>
      <c r="N405" s="881">
        <f t="shared" ca="1" si="177"/>
        <v>0</v>
      </c>
      <c r="O405" s="881">
        <f t="shared" ca="1" si="174"/>
        <v>0</v>
      </c>
      <c r="P405" s="881">
        <f t="shared" ca="1" si="175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4"/>
        <v>0</v>
      </c>
      <c r="P406" s="887">
        <f t="shared" si="175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IFERROR(__xludf.DUMMYFUNCTION("IMPORTRANGE(""https://docs.google.com/spreadsheets/d/1MeEWN-I1oV_STSDYn1IFDPWt_1FKiwhDph83XaGc0o0/edit?usp=sharing"",""งบพรบ!FQ79"")"),0)</f>
        <v>0</v>
      </c>
      <c r="M407" s="887">
        <f ca="1">IFERROR(__xludf.DUMMYFUNCTION("IMPORTRANGE(""https://docs.google.com/spreadsheets/d/1MeEWN-I1oV_STSDYn1IFDPWt_1FKiwhDph83XaGc0o0/edit?usp=sharing"",""งบพรบ!FV79"")"),0)</f>
        <v>0</v>
      </c>
      <c r="N407" s="887">
        <f ca="1">IFERROR(__xludf.DUMMYFUNCTION("IMPORTRANGE(""https://docs.google.com/spreadsheets/d/1MeEWN-I1oV_STSDYn1IFDPWt_1FKiwhDph83XaGc0o0/edit?usp=sharing"",""งบพรบ!FX79"")"),0)</f>
        <v>0</v>
      </c>
      <c r="O407" s="887">
        <f t="shared" ca="1" si="174"/>
        <v>0</v>
      </c>
      <c r="P407" s="887">
        <f t="shared" ca="1" si="175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8">L409+L410</f>
        <v>0</v>
      </c>
      <c r="M408" s="881">
        <f t="shared" ca="1" si="178"/>
        <v>0</v>
      </c>
      <c r="N408" s="881">
        <f t="shared" ca="1" si="178"/>
        <v>0</v>
      </c>
      <c r="O408" s="881">
        <f t="shared" ca="1" si="174"/>
        <v>0</v>
      </c>
      <c r="P408" s="881">
        <f t="shared" ca="1" si="175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4"/>
        <v>0</v>
      </c>
      <c r="P409" s="887">
        <f t="shared" si="175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IFERROR(__xludf.DUMMYFUNCTION("IMPORTRANGE(""https://docs.google.com/spreadsheets/d/1MeEWN-I1oV_STSDYn1IFDPWt_1FKiwhDph83XaGc0o0/edit?usp=sharing"",""งบพรบ!FT79"")"),0)</f>
        <v>0</v>
      </c>
      <c r="M410" s="887">
        <f ca="1">IFERROR(__xludf.DUMMYFUNCTION("IMPORTRANGE(""https://docs.google.com/spreadsheets/d/1MeEWN-I1oV_STSDYn1IFDPWt_1FKiwhDph83XaGc0o0/edit?usp=sharing"",""งบพรบ!FW79"")"),0)</f>
        <v>0</v>
      </c>
      <c r="N410" s="887">
        <f ca="1">IFERROR(__xludf.DUMMYFUNCTION("IMPORTRANGE(""https://docs.google.com/spreadsheets/d/1MeEWN-I1oV_STSDYn1IFDPWt_1FKiwhDph83XaGc0o0/edit?usp=sharing"",""งบพรบ!FY79"")"),0)</f>
        <v>0</v>
      </c>
      <c r="O410" s="887">
        <f t="shared" ca="1" si="174"/>
        <v>0</v>
      </c>
      <c r="P410" s="887">
        <f t="shared" ca="1" si="175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79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79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0">L419+L444+L467+L502+L523+L544+L629+L655+L685+L737+L754+L770+L786+L805</f>
        <v>737624</v>
      </c>
      <c r="M414" s="1281">
        <f t="shared" ca="1" si="180"/>
        <v>732014</v>
      </c>
      <c r="N414" s="1281">
        <f t="shared" si="180"/>
        <v>348398</v>
      </c>
      <c r="O414" s="1281">
        <f ca="1">IF(L414&gt;0,N414*100/L414,0)</f>
        <v>47.232465321084995</v>
      </c>
      <c r="P414" s="1281">
        <f ca="1">IF(M414&gt;0,N414*100/M414,0)</f>
        <v>47.594444914987967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1">I433</f>
        <v>15</v>
      </c>
      <c r="J417" s="1294">
        <f t="shared" ca="1" si="181"/>
        <v>15</v>
      </c>
      <c r="K417" s="1295">
        <f t="shared" ref="K417:K418" ca="1" si="182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1"/>
        <v>1</v>
      </c>
      <c r="J418" s="1294">
        <f t="shared" si="181"/>
        <v>1</v>
      </c>
      <c r="K418" s="1295">
        <f t="shared" ca="1" si="182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3">L420+L421</f>
        <v>98660</v>
      </c>
      <c r="M419" s="992">
        <f t="shared" ca="1" si="183"/>
        <v>93050</v>
      </c>
      <c r="N419" s="992">
        <f t="shared" si="183"/>
        <v>64600</v>
      </c>
      <c r="O419" s="992">
        <f t="shared" ref="O419:O424" ca="1" si="184">IF(L419&gt;0,N419*100/L419,0)</f>
        <v>65.477397121427117</v>
      </c>
      <c r="P419" s="992">
        <f t="shared" ref="P419:P424" ca="1" si="185">IF(M419&gt;0,N419*100/M419,0)</f>
        <v>69.425040300913494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6">L423+L430</f>
        <v>0</v>
      </c>
      <c r="M420" s="887">
        <f t="shared" si="186"/>
        <v>0</v>
      </c>
      <c r="N420" s="887">
        <f t="shared" si="186"/>
        <v>0</v>
      </c>
      <c r="O420" s="887">
        <f t="shared" si="184"/>
        <v>0</v>
      </c>
      <c r="P420" s="887">
        <f t="shared" si="185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6"/>
        <v>98660</v>
      </c>
      <c r="M421" s="887">
        <f t="shared" ca="1" si="186"/>
        <v>93050</v>
      </c>
      <c r="N421" s="887">
        <f t="shared" si="186"/>
        <v>64600</v>
      </c>
      <c r="O421" s="887">
        <f t="shared" ca="1" si="184"/>
        <v>65.477397121427117</v>
      </c>
      <c r="P421" s="887">
        <f t="shared" ca="1" si="185"/>
        <v>69.425040300913494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7">L423+L424</f>
        <v>98660</v>
      </c>
      <c r="M422" s="881">
        <f t="shared" ca="1" si="187"/>
        <v>93050</v>
      </c>
      <c r="N422" s="881">
        <f t="shared" si="187"/>
        <v>64600</v>
      </c>
      <c r="O422" s="881">
        <f t="shared" ca="1" si="184"/>
        <v>65.477397121427117</v>
      </c>
      <c r="P422" s="881">
        <f t="shared" ca="1" si="185"/>
        <v>69.425040300913494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4"/>
        <v>0</v>
      </c>
      <c r="P423" s="887">
        <f t="shared" si="185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IFERROR(__xludf.DUMMYFUNCTION("IMPORTRANGE(""https://docs.google.com/spreadsheets/d/1QqKyyYR6Q21VydFLVH3TRQUabQu_ym0Zz7PgGX0-kHA/edit?usp=sharing"",""แผน!EY79"")"),98660)</f>
        <v>98660</v>
      </c>
      <c r="M424" s="887">
        <f ca="1">L424-5610</f>
        <v>93050</v>
      </c>
      <c r="N424" s="887">
        <f>N425+N426+N427+N428</f>
        <v>64600</v>
      </c>
      <c r="O424" s="887">
        <f t="shared" ca="1" si="184"/>
        <v>65.477397121427117</v>
      </c>
      <c r="P424" s="887">
        <f t="shared" ca="1" si="185"/>
        <v>69.425040300913494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f>[1]ผลการเบิกจ่ายเงินกองทุน!F47</f>
        <v>25680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38920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8">L430+L431</f>
        <v>0</v>
      </c>
      <c r="M429" s="881">
        <f t="shared" si="188"/>
        <v>0</v>
      </c>
      <c r="N429" s="881">
        <f t="shared" si="188"/>
        <v>0</v>
      </c>
      <c r="O429" s="881">
        <f t="shared" ref="O429:O431" ca="1" si="189">IF(L429&gt;0,N429*100/L429,0)</f>
        <v>0</v>
      </c>
      <c r="P429" s="881">
        <f t="shared" ref="P429:P431" si="190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89"/>
        <v>0</v>
      </c>
      <c r="P430" s="887">
        <f t="shared" si="190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IFERROR(__xludf.DUMMYFUNCTION("IMPORTRANGE(""https://docs.google.com/spreadsheets/d/1QqKyyYR6Q21VydFLVH3TRQUabQu_ym0Zz7PgGX0-kHA/edit?usp=sharing"",""แผน!FB79"")"),0)</f>
        <v>0</v>
      </c>
      <c r="M431" s="887">
        <v>0</v>
      </c>
      <c r="N431" s="887">
        <v>0</v>
      </c>
      <c r="O431" s="887">
        <f t="shared" ca="1" si="189"/>
        <v>0</v>
      </c>
      <c r="P431" s="887">
        <f t="shared" si="190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15</v>
      </c>
      <c r="J433" s="1019">
        <f ca="1">IF(AND(J435=I435,J437=I437,J439=I439),I437+I439,IF(AND(J435=I437,J437=I437),I437,IF(AND(J435=I439,J439=I439),I439,0)))</f>
        <v>15</v>
      </c>
      <c r="K433" s="1020">
        <f t="shared" ref="K433:K435" ca="1" si="191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2">I438+I440</f>
        <v>1</v>
      </c>
      <c r="J434" s="1019">
        <f t="shared" si="192"/>
        <v>1</v>
      </c>
      <c r="K434" s="1020">
        <f t="shared" ca="1" si="191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IFERROR(__xludf.DUMMYFUNCTION("IMPORTRANGE(""https://docs.google.com/spreadsheets/d/1QqKyyYR6Q21VydFLVH3TRQUabQu_ym0Zz7PgGX0-kHA/edit?usp=sharing"",""แผน!FC79"")"),15)</f>
        <v>15</v>
      </c>
      <c r="J435" s="583">
        <v>15</v>
      </c>
      <c r="K435" s="881">
        <f t="shared" ca="1" si="191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IFERROR(__xludf.DUMMYFUNCTION("IMPORTRANGE(""https://docs.google.com/spreadsheets/d/1QqKyyYR6Q21VydFLVH3TRQUabQu_ym0Zz7PgGX0-kHA/edit?usp=sharing"",""แผน!FD79"")"),0)</f>
        <v>0</v>
      </c>
      <c r="J437" s="583">
        <v>0</v>
      </c>
      <c r="K437" s="881">
        <f t="shared" ref="K437:K443" ca="1" si="193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IFERROR(__xludf.DUMMYFUNCTION("IMPORTRANGE(""https://docs.google.com/spreadsheets/d/1QqKyyYR6Q21VydFLVH3TRQUabQu_ym0Zz7PgGX0-kHA/edit?usp=sharing"",""แผน!FE79"")"),0)</f>
        <v>0</v>
      </c>
      <c r="J438" s="1012">
        <v>0</v>
      </c>
      <c r="K438" s="881">
        <f t="shared" ca="1" si="193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IFERROR(__xludf.DUMMYFUNCTION("IMPORTRANGE(""https://docs.google.com/spreadsheets/d/1QqKyyYR6Q21VydFLVH3TRQUabQu_ym0Zz7PgGX0-kHA/edit?usp=sharing"",""แผน!FF79"")"),15)</f>
        <v>15</v>
      </c>
      <c r="J439" s="583">
        <v>15</v>
      </c>
      <c r="K439" s="881">
        <f t="shared" ca="1" si="193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IFERROR(__xludf.DUMMYFUNCTION("IMPORTRANGE(""https://docs.google.com/spreadsheets/d/1QqKyyYR6Q21VydFLVH3TRQUabQu_ym0Zz7PgGX0-kHA/edit?usp=sharing"",""แผน!FG79"")"),1)</f>
        <v>1</v>
      </c>
      <c r="J440" s="1012">
        <v>1</v>
      </c>
      <c r="K440" s="881">
        <f t="shared" ca="1" si="193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IFERROR(__xludf.DUMMYFUNCTION("IMPORTRANGE(""https://docs.google.com/spreadsheets/d/1QqKyyYR6Q21VydFLVH3TRQUabQu_ym0Zz7PgGX0-kHA/edit?usp=sharing"",""แผน!FH79"")"),0)</f>
        <v>0</v>
      </c>
      <c r="J441" s="880">
        <v>0</v>
      </c>
      <c r="K441" s="881">
        <f t="shared" ca="1" si="193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 hidden="1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4">I460</f>
        <v>0</v>
      </c>
      <c r="J442" s="1310">
        <f t="shared" si="194"/>
        <v>0</v>
      </c>
      <c r="K442" s="1311">
        <f t="shared" ca="1" si="193"/>
        <v>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 hidden="1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5">I462</f>
        <v>0</v>
      </c>
      <c r="J443" s="1294">
        <f t="shared" si="195"/>
        <v>0</v>
      </c>
      <c r="K443" s="1295">
        <f t="shared" ca="1" si="193"/>
        <v>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 hidden="1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6">L445+L446</f>
        <v>0</v>
      </c>
      <c r="M444" s="1020">
        <f t="shared" si="196"/>
        <v>0</v>
      </c>
      <c r="N444" s="1020">
        <f t="shared" si="196"/>
        <v>0</v>
      </c>
      <c r="O444" s="1020">
        <f t="shared" ref="O444:O449" ca="1" si="197">IF(L444&gt;0,N444*100/L444,0)</f>
        <v>0</v>
      </c>
      <c r="P444" s="1020">
        <f t="shared" ref="P444:P449" si="198">IF(M444&gt;0,N444*100/M444,0)</f>
        <v>0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199">L448+L455</f>
        <v>0</v>
      </c>
      <c r="M445" s="887">
        <f t="shared" si="199"/>
        <v>0</v>
      </c>
      <c r="N445" s="887">
        <f t="shared" si="199"/>
        <v>0</v>
      </c>
      <c r="O445" s="887">
        <f t="shared" si="197"/>
        <v>0</v>
      </c>
      <c r="P445" s="887">
        <f t="shared" si="198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199"/>
        <v>0</v>
      </c>
      <c r="M446" s="887">
        <f t="shared" si="199"/>
        <v>0</v>
      </c>
      <c r="N446" s="887">
        <f t="shared" si="199"/>
        <v>0</v>
      </c>
      <c r="O446" s="887">
        <f t="shared" ca="1" si="197"/>
        <v>0</v>
      </c>
      <c r="P446" s="887">
        <f t="shared" si="198"/>
        <v>0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 hidden="1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0">L448+L449</f>
        <v>0</v>
      </c>
      <c r="M447" s="881">
        <f t="shared" si="200"/>
        <v>0</v>
      </c>
      <c r="N447" s="881">
        <f t="shared" si="200"/>
        <v>0</v>
      </c>
      <c r="O447" s="881">
        <f t="shared" ca="1" si="197"/>
        <v>0</v>
      </c>
      <c r="P447" s="881">
        <f t="shared" si="198"/>
        <v>0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7"/>
        <v>0</v>
      </c>
      <c r="P448" s="887">
        <f t="shared" si="198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IFERROR(__xludf.DUMMYFUNCTION("IMPORTRANGE(""https://docs.google.com/spreadsheets/d/1QqKyyYR6Q21VydFLVH3TRQUabQu_ym0Zz7PgGX0-kHA/edit?usp=sharing"",""แผน!FJ79"")"),0)</f>
        <v>0</v>
      </c>
      <c r="M449" s="887">
        <v>0</v>
      </c>
      <c r="N449" s="887">
        <f>N450+N451+N452+N453</f>
        <v>0</v>
      </c>
      <c r="O449" s="887">
        <f t="shared" ca="1" si="197"/>
        <v>0</v>
      </c>
      <c r="P449" s="887">
        <f t="shared" si="198"/>
        <v>0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 hidden="1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 hidden="1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 hidden="1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 hidden="1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 hidden="1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1">L455+L456</f>
        <v>0</v>
      </c>
      <c r="M454" s="881">
        <f t="shared" si="201"/>
        <v>0</v>
      </c>
      <c r="N454" s="881">
        <f t="shared" si="201"/>
        <v>0</v>
      </c>
      <c r="O454" s="881">
        <f t="shared" ref="O454:O456" ca="1" si="202">IF(L454&gt;0,N454*100/L454,0)</f>
        <v>0</v>
      </c>
      <c r="P454" s="881">
        <f t="shared" ref="P454:P456" si="203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2"/>
        <v>0</v>
      </c>
      <c r="P455" s="887">
        <f t="shared" si="203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IFERROR(__xludf.DUMMYFUNCTION("IMPORTRANGE(""https://docs.google.com/spreadsheets/d/1QqKyyYR6Q21VydFLVH3TRQUabQu_ym0Zz7PgGX0-kHA/edit?usp=sharing"",""แผน!FM79"")"),0)</f>
        <v>0</v>
      </c>
      <c r="M456" s="887">
        <v>0</v>
      </c>
      <c r="N456" s="887">
        <v>0</v>
      </c>
      <c r="O456" s="887">
        <f t="shared" ca="1" si="202"/>
        <v>0</v>
      </c>
      <c r="P456" s="887">
        <f t="shared" si="203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 hidden="1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 hidden="1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IFERROR(__xludf.DUMMYFUNCTION("IMPORTRANGE(""https://docs.google.com/spreadsheets/d/1QqKyyYR6Q21VydFLVH3TRQUabQu_ym0Zz7PgGX0-kHA/edit?usp=sharing"",""แผน!FN79"")"),0)</f>
        <v>0</v>
      </c>
      <c r="J460" s="1012">
        <v>0</v>
      </c>
      <c r="K460" s="881">
        <f ca="1">IF(I460&gt;0,J460*100/I460,0)</f>
        <v>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 hidden="1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 hidden="1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IFERROR(__xludf.DUMMYFUNCTION("IMPORTRANGE(""https://docs.google.com/spreadsheets/d/1QqKyyYR6Q21VydFLVH3TRQUabQu_ym0Zz7PgGX0-kHA/edit?usp=sharing"",""แผน!FO79"")"),0)</f>
        <v>0</v>
      </c>
      <c r="J462" s="1012">
        <v>0</v>
      </c>
      <c r="K462" s="881">
        <f ca="1">IF(I462&gt;0,J462*100/I462,0)</f>
        <v>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 hidden="1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IFERROR(__xludf.DUMMYFUNCTION("IMPORTRANGE(""https://docs.google.com/spreadsheets/d/1QqKyyYR6Q21VydFLVH3TRQUabQu_ym0Zz7PgGX0-kHA/edit?usp=sharing"",""แผน!FO79"")"),0)</f>
        <v>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 hidden="1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IFERROR(__xludf.DUMMYFUNCTION("IMPORTRANGE(""https://docs.google.com/spreadsheets/d/1QqKyyYR6Q21VydFLVH3TRQUabQu_ym0Zz7PgGX0-kHA/edit?usp=sharing"",""แผน!FN79"")"),0)</f>
        <v>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IFERROR(__xludf.DUMMYFUNCTION("IMPORTRANGE(""https://docs.google.com/spreadsheets/d/1QqKyyYR6Q21VydFLVH3TRQUabQu_ym0Zz7PgGX0-kHA/edit?usp=sharing"",""แผน!FX79"")"),11)</f>
        <v>11</v>
      </c>
      <c r="J465" s="1310">
        <f>J485+J489+J492</f>
        <v>11</v>
      </c>
      <c r="K465" s="1311">
        <f t="shared" ref="K465:K466" ca="1" si="204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IFERROR(__xludf.DUMMYFUNCTION("IMPORTRANGE(""https://docs.google.com/spreadsheets/d/1QqKyyYR6Q21VydFLVH3TRQUabQu_ym0Zz7PgGX0-kHA/edit?usp=sharing"",""แผน!FW79"")"),100)</f>
        <v>100</v>
      </c>
      <c r="J466" s="1294">
        <f>J495+J498</f>
        <v>0</v>
      </c>
      <c r="K466" s="1295">
        <f t="shared" ca="1" si="204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5">L468+L469</f>
        <v>115023</v>
      </c>
      <c r="M467" s="1020">
        <f t="shared" ca="1" si="205"/>
        <v>115023</v>
      </c>
      <c r="N467" s="1020">
        <f t="shared" si="205"/>
        <v>43473</v>
      </c>
      <c r="O467" s="1020">
        <f t="shared" ref="O467:O472" ca="1" si="206">IF(L467&gt;0,N467*100/L467,0)</f>
        <v>37.795049685715028</v>
      </c>
      <c r="P467" s="1020">
        <f t="shared" ref="P467:P472" ca="1" si="207">IF(M467&gt;0,N467*100/M467,0)</f>
        <v>37.795049685715028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8">L471+L478</f>
        <v>0</v>
      </c>
      <c r="M468" s="887">
        <f t="shared" si="208"/>
        <v>0</v>
      </c>
      <c r="N468" s="887">
        <f t="shared" si="208"/>
        <v>0</v>
      </c>
      <c r="O468" s="887">
        <f t="shared" si="206"/>
        <v>0</v>
      </c>
      <c r="P468" s="887">
        <f t="shared" si="207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8"/>
        <v>115023</v>
      </c>
      <c r="M469" s="887">
        <f t="shared" ca="1" si="208"/>
        <v>115023</v>
      </c>
      <c r="N469" s="887">
        <f t="shared" si="208"/>
        <v>43473</v>
      </c>
      <c r="O469" s="887">
        <f t="shared" ca="1" si="206"/>
        <v>37.795049685715028</v>
      </c>
      <c r="P469" s="887">
        <f t="shared" ca="1" si="207"/>
        <v>37.795049685715028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09">L471+L472</f>
        <v>115023</v>
      </c>
      <c r="M470" s="881">
        <f t="shared" ca="1" si="209"/>
        <v>115023</v>
      </c>
      <c r="N470" s="881">
        <f t="shared" si="209"/>
        <v>43473</v>
      </c>
      <c r="O470" s="881">
        <f t="shared" ca="1" si="206"/>
        <v>37.795049685715028</v>
      </c>
      <c r="P470" s="881">
        <f t="shared" ca="1" si="207"/>
        <v>37.795049685715028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6"/>
        <v>0</v>
      </c>
      <c r="P471" s="887">
        <f t="shared" si="207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IFERROR(__xludf.DUMMYFUNCTION("IMPORTRANGE(""https://docs.google.com/spreadsheets/d/1QqKyyYR6Q21VydFLVH3TRQUabQu_ym0Zz7PgGX0-kHA/edit?usp=sharing"",""แผน!FS79"")"),115023)</f>
        <v>115023</v>
      </c>
      <c r="M472" s="887">
        <f ca="1">L472</f>
        <v>115023</v>
      </c>
      <c r="N472" s="887">
        <f>N473+N474+N475+N476</f>
        <v>43473</v>
      </c>
      <c r="O472" s="887">
        <f t="shared" ca="1" si="206"/>
        <v>37.795049685715028</v>
      </c>
      <c r="P472" s="887">
        <f t="shared" ca="1" si="207"/>
        <v>37.795049685715028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f>[1]ผลการเบิกจ่ายเงินกองทุน!F56+[1]ผลการเบิกจ่ายเงินกองทุน!F61</f>
        <v>29793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f>[1]ผลการเบิกจ่ายเงินกองทุน!F54+[1]ผลการเบิกจ่ายเงินกองทุน!F55+[1]ผลการเบิกจ่ายเงินกองทุน!F57+[1]ผลการเบิกจ่ายเงินกองทุน!F58+[1]ผลการเบิกจ่ายเงินกองทุน!F60</f>
        <v>13680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0">L478+L479</f>
        <v>0</v>
      </c>
      <c r="M477" s="881">
        <f t="shared" si="210"/>
        <v>0</v>
      </c>
      <c r="N477" s="881">
        <f t="shared" si="210"/>
        <v>0</v>
      </c>
      <c r="O477" s="881">
        <f t="shared" ref="O477:O479" ca="1" si="211">IF(L477&gt;0,N477*100/L477,0)</f>
        <v>0</v>
      </c>
      <c r="P477" s="881">
        <f t="shared" ref="P477:P479" si="212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1"/>
        <v>0</v>
      </c>
      <c r="P478" s="887">
        <f t="shared" si="212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IFERROR(__xludf.DUMMYFUNCTION("IMPORTRANGE(""https://docs.google.com/spreadsheets/d/1QqKyyYR6Q21VydFLVH3TRQUabQu_ym0Zz7PgGX0-kHA/edit?usp=sharing"",""แผน!FV79"")"),0)</f>
        <v>0</v>
      </c>
      <c r="M479" s="887">
        <v>0</v>
      </c>
      <c r="N479" s="887">
        <v>0</v>
      </c>
      <c r="O479" s="887">
        <f t="shared" ca="1" si="211"/>
        <v>0</v>
      </c>
      <c r="P479" s="887">
        <f t="shared" si="212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IFERROR(__xludf.DUMMYFUNCTION("IMPORTRANGE(""https://docs.google.com/spreadsheets/d/1QqKyyYR6Q21VydFLVH3TRQUabQu_ym0Zz7PgGX0-kHA/edit?usp=sharing"",""แผน!FY79"")"),90)</f>
        <v>90</v>
      </c>
      <c r="J483" s="1012">
        <v>90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13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IFERROR(__xludf.DUMMYFUNCTION("IMPORTRANGE(""https://docs.google.com/spreadsheets/d/1QqKyyYR6Q21VydFLVH3TRQUabQu_ym0Zz7PgGX0-kHA/edit?usp=sharing"",""แผน!FZ79"")"),9)</f>
        <v>9</v>
      </c>
      <c r="J485" s="1012">
        <v>9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IFERROR(__xludf.DUMMYFUNCTION("IMPORTRANGE(""https://docs.google.com/spreadsheets/d/1QqKyyYR6Q21VydFLVH3TRQUabQu_ym0Zz7PgGX0-kHA/edit?usp=sharing"",""แผน!GA79"")"),10)</f>
        <v>10</v>
      </c>
      <c r="J487" s="1012">
        <v>10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1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IFERROR(__xludf.DUMMYFUNCTION("IMPORTRANGE(""https://docs.google.com/spreadsheets/d/1QqKyyYR6Q21VydFLVH3TRQUabQu_ym0Zz7PgGX0-kHA/edit?usp=sharing"",""แผน!GB79"")"),1)</f>
        <v>1</v>
      </c>
      <c r="J489" s="1012">
        <v>1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IFERROR(__xludf.DUMMYFUNCTION("IMPORTRANGE(""https://docs.google.com/spreadsheets/d/1QqKyyYR6Q21VydFLVH3TRQUabQu_ym0Zz7PgGX0-kHA/edit?usp=sharing"",""แผน!GC79"")"),1)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IFERROR(__xludf.DUMMYFUNCTION("IMPORTRANGE(""https://docs.google.com/spreadsheets/d/1QqKyyYR6Q21VydFLVH3TRQUabQu_ym0Zz7PgGX0-kHA/edit?usp=sharing"",""แผน!FY79"")"),90)</f>
        <v>90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IFERROR(__xludf.DUMMYFUNCTION("IMPORTRANGE(""https://docs.google.com/spreadsheets/d/1QqKyyYR6Q21VydFLVH3TRQUabQu_ym0Zz7PgGX0-kHA/edit?usp=sharing"",""แผน!GA79"")"),10)</f>
        <v>10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3">J516</f>
        <v>0</v>
      </c>
      <c r="K500" s="1342">
        <f t="shared" ref="K500:K501" si="214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3"/>
        <v>0</v>
      </c>
      <c r="K501" s="1349">
        <f t="shared" si="214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5">L503+L504</f>
        <v>0</v>
      </c>
      <c r="M502" s="1352">
        <f t="shared" si="215"/>
        <v>0</v>
      </c>
      <c r="N502" s="1352">
        <f t="shared" si="215"/>
        <v>0</v>
      </c>
      <c r="O502" s="1352">
        <f t="shared" ref="O502:O507" si="216">IF(L502&gt;0,N502*100/L502,0)</f>
        <v>0</v>
      </c>
      <c r="P502" s="1352">
        <f t="shared" ref="P502:P507" si="217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8">L506+L513</f>
        <v>0</v>
      </c>
      <c r="M503" s="887">
        <f t="shared" si="218"/>
        <v>0</v>
      </c>
      <c r="N503" s="887">
        <f t="shared" si="218"/>
        <v>0</v>
      </c>
      <c r="O503" s="887">
        <f t="shared" si="216"/>
        <v>0</v>
      </c>
      <c r="P503" s="887">
        <f t="shared" si="217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8"/>
        <v>0</v>
      </c>
      <c r="M504" s="887">
        <f t="shared" si="218"/>
        <v>0</v>
      </c>
      <c r="N504" s="887">
        <f t="shared" si="218"/>
        <v>0</v>
      </c>
      <c r="O504" s="887">
        <f t="shared" si="216"/>
        <v>0</v>
      </c>
      <c r="P504" s="887">
        <f t="shared" si="217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19">L506+L507</f>
        <v>0</v>
      </c>
      <c r="M505" s="887">
        <f t="shared" si="219"/>
        <v>0</v>
      </c>
      <c r="N505" s="887">
        <f t="shared" si="219"/>
        <v>0</v>
      </c>
      <c r="O505" s="887">
        <f t="shared" si="216"/>
        <v>0</v>
      </c>
      <c r="P505" s="887">
        <f t="shared" si="217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6"/>
        <v>0</v>
      </c>
      <c r="P506" s="887">
        <f t="shared" si="217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6"/>
        <v>0</v>
      </c>
      <c r="P507" s="887">
        <f t="shared" si="217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0">L513+L514</f>
        <v>0</v>
      </c>
      <c r="M512" s="887">
        <f t="shared" si="220"/>
        <v>0</v>
      </c>
      <c r="N512" s="887">
        <f t="shared" si="220"/>
        <v>0</v>
      </c>
      <c r="O512" s="887">
        <f t="shared" ref="O512:O514" si="221">IF(L512&gt;0,N512*100/L512,0)</f>
        <v>0</v>
      </c>
      <c r="P512" s="887">
        <f t="shared" ref="P512:P514" si="222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1"/>
        <v>0</v>
      </c>
      <c r="P513" s="887">
        <f t="shared" si="222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1"/>
        <v>0</v>
      </c>
      <c r="P514" s="887">
        <f t="shared" si="222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3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3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4">I537</f>
        <v>0</v>
      </c>
      <c r="J522" s="1377">
        <f t="shared" ca="1" si="224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5">L524+L525</f>
        <v>0</v>
      </c>
      <c r="M523" s="1020">
        <f t="shared" si="225"/>
        <v>0</v>
      </c>
      <c r="N523" s="1020">
        <f t="shared" si="225"/>
        <v>0</v>
      </c>
      <c r="O523" s="1020">
        <f t="shared" ref="O523:O528" ca="1" si="226">IF(L523&gt;0,N523*100/L523,0)</f>
        <v>0</v>
      </c>
      <c r="P523" s="1020">
        <f t="shared" ref="P523:P528" si="227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8">L527+L534</f>
        <v>0</v>
      </c>
      <c r="M524" s="887">
        <f t="shared" si="228"/>
        <v>0</v>
      </c>
      <c r="N524" s="887">
        <f t="shared" si="228"/>
        <v>0</v>
      </c>
      <c r="O524" s="887">
        <f t="shared" si="226"/>
        <v>0</v>
      </c>
      <c r="P524" s="887">
        <f t="shared" si="227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8"/>
        <v>0</v>
      </c>
      <c r="M525" s="887">
        <f t="shared" si="228"/>
        <v>0</v>
      </c>
      <c r="N525" s="887">
        <f t="shared" si="228"/>
        <v>0</v>
      </c>
      <c r="O525" s="887">
        <f t="shared" ca="1" si="226"/>
        <v>0</v>
      </c>
      <c r="P525" s="887">
        <f t="shared" si="227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29">L527+L528</f>
        <v>0</v>
      </c>
      <c r="M526" s="881">
        <f t="shared" si="229"/>
        <v>0</v>
      </c>
      <c r="N526" s="881">
        <f t="shared" si="229"/>
        <v>0</v>
      </c>
      <c r="O526" s="881">
        <f t="shared" ca="1" si="226"/>
        <v>0</v>
      </c>
      <c r="P526" s="881">
        <f t="shared" si="227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6"/>
        <v>0</v>
      </c>
      <c r="P527" s="887">
        <f t="shared" si="227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IFERROR(__xludf.DUMMYFUNCTION("IMPORTRANGE(""https://docs.google.com/spreadsheets/d/1QqKyyYR6Q21VydFLVH3TRQUabQu_ym0Zz7PgGX0-kHA/edit?usp=sharing"",""แผน!GQ79"")"),0)</f>
        <v>0</v>
      </c>
      <c r="M528" s="887">
        <v>0</v>
      </c>
      <c r="N528" s="887">
        <f>N529+N530+N531+N532</f>
        <v>0</v>
      </c>
      <c r="O528" s="887">
        <f t="shared" ca="1" si="226"/>
        <v>0</v>
      </c>
      <c r="P528" s="887">
        <f t="shared" si="227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0">L534+L535</f>
        <v>0</v>
      </c>
      <c r="M533" s="881">
        <f t="shared" si="230"/>
        <v>0</v>
      </c>
      <c r="N533" s="881">
        <f t="shared" si="230"/>
        <v>0</v>
      </c>
      <c r="O533" s="881">
        <f t="shared" ref="O533:O535" ca="1" si="231">IF(L533&gt;0,N533*100/L533,0)</f>
        <v>0</v>
      </c>
      <c r="P533" s="881">
        <f t="shared" ref="P533:P535" si="232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1"/>
        <v>0</v>
      </c>
      <c r="P534" s="887">
        <f t="shared" si="232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IFERROR(__xludf.DUMMYFUNCTION("IMPORTRANGE(""https://docs.google.com/spreadsheets/d/1QqKyyYR6Q21VydFLVH3TRQUabQu_ym0Zz7PgGX0-kHA/edit?usp=sharing"",""แผน!GT79"")"),0)</f>
        <v>0</v>
      </c>
      <c r="M535" s="887">
        <v>0</v>
      </c>
      <c r="N535" s="887">
        <v>0</v>
      </c>
      <c r="O535" s="887">
        <f t="shared" ca="1" si="231"/>
        <v>0</v>
      </c>
      <c r="P535" s="887">
        <f t="shared" si="232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IFERROR(__xludf.DUMMYFUNCTION("IMPORTRANGE(""https://docs.google.com/spreadsheets/d/1QqKyyYR6Q21VydFLVH3TRQUabQu_ym0Zz7PgGX0-kHA/edit?usp=sharing"",""แผน!GU79"")"),0)</f>
        <v>0</v>
      </c>
      <c r="J537" s="1019">
        <f ca="1">IF(AND(J538=I538,J539=I539,J540=I540,J541=I541),I537,0)</f>
        <v>0</v>
      </c>
      <c r="K537" s="881">
        <f t="shared" ref="K537:K543" ca="1" si="233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IFERROR(__xludf.DUMMYFUNCTION("IMPORTRANGE(""https://docs.google.com/spreadsheets/d/1QqKyyYR6Q21VydFLVH3TRQUabQu_ym0Zz7PgGX0-kHA/edit?usp=sharing"",""แผน!GV79"")"),0)</f>
        <v>0</v>
      </c>
      <c r="J538" s="1012">
        <v>0</v>
      </c>
      <c r="K538" s="881">
        <f t="shared" ca="1" si="233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IFERROR(__xludf.DUMMYFUNCTION("IMPORTRANGE(""https://docs.google.com/spreadsheets/d/1QqKyyYR6Q21VydFLVH3TRQUabQu_ym0Zz7PgGX0-kHA/edit?usp=sharing"",""แผน!GW79"")"),0)</f>
        <v>0</v>
      </c>
      <c r="J539" s="1012">
        <v>0</v>
      </c>
      <c r="K539" s="881">
        <f t="shared" ca="1" si="233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IFERROR(__xludf.DUMMYFUNCTION("IMPORTRANGE(""https://docs.google.com/spreadsheets/d/1QqKyyYR6Q21VydFLVH3TRQUabQu_ym0Zz7PgGX0-kHA/edit?usp=sharing"",""แผน!GX79"")"),0)</f>
        <v>0</v>
      </c>
      <c r="J540" s="1012">
        <v>0</v>
      </c>
      <c r="K540" s="881">
        <f t="shared" ca="1" si="233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IFERROR(__xludf.DUMMYFUNCTION("IMPORTRANGE(""https://docs.google.com/spreadsheets/d/1QqKyyYR6Q21VydFLVH3TRQUabQu_ym0Zz7PgGX0-kHA/edit?usp=sharing"",""แผน!GY79"")"),0)</f>
        <v>0</v>
      </c>
      <c r="J541" s="1012">
        <v>0</v>
      </c>
      <c r="K541" s="881">
        <f t="shared" ca="1" si="233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IFERROR(__xludf.DUMMYFUNCTION("IMPORTRANGE(""https://docs.google.com/spreadsheets/d/1QqKyyYR6Q21VydFLVH3TRQUabQu_ym0Zz7PgGX0-kHA/edit?usp=sharing"",""แผน!GZ79"")"),0)</f>
        <v>0</v>
      </c>
      <c r="J542" s="1012">
        <v>0</v>
      </c>
      <c r="K542" s="881">
        <f t="shared" ca="1" si="233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4">I559</f>
        <v>5970</v>
      </c>
      <c r="J543" s="1384">
        <f t="shared" si="234"/>
        <v>5970</v>
      </c>
      <c r="K543" s="1385">
        <f t="shared" ca="1" si="233"/>
        <v>100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5">L545+L546</f>
        <v>308096</v>
      </c>
      <c r="M544" s="992">
        <f t="shared" ca="1" si="235"/>
        <v>308096</v>
      </c>
      <c r="N544" s="992">
        <f t="shared" si="235"/>
        <v>161095</v>
      </c>
      <c r="O544" s="992">
        <f t="shared" ref="O544:O549" ca="1" si="236">IF(L544&gt;0,N544*100/L544,0)</f>
        <v>52.287274096385545</v>
      </c>
      <c r="P544" s="992">
        <f t="shared" ref="P544:P549" ca="1" si="237">IF(M544&gt;0,N544*100/M544,0)</f>
        <v>52.287274096385545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8">L548+L556</f>
        <v>0</v>
      </c>
      <c r="M545" s="887">
        <f t="shared" ref="M545:N546" si="239">M548+M555</f>
        <v>0</v>
      </c>
      <c r="N545" s="887">
        <f t="shared" si="239"/>
        <v>0</v>
      </c>
      <c r="O545" s="887">
        <f t="shared" si="236"/>
        <v>0</v>
      </c>
      <c r="P545" s="887">
        <f t="shared" si="237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8"/>
        <v>308096</v>
      </c>
      <c r="M546" s="887">
        <f t="shared" ca="1" si="239"/>
        <v>308096</v>
      </c>
      <c r="N546" s="887">
        <f t="shared" si="239"/>
        <v>161095</v>
      </c>
      <c r="O546" s="887">
        <f t="shared" ca="1" si="236"/>
        <v>52.287274096385545</v>
      </c>
      <c r="P546" s="887">
        <f t="shared" ca="1" si="237"/>
        <v>52.287274096385545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0">L548+L549</f>
        <v>308096</v>
      </c>
      <c r="M547" s="881">
        <f t="shared" ca="1" si="240"/>
        <v>308096</v>
      </c>
      <c r="N547" s="881">
        <f t="shared" si="240"/>
        <v>161095</v>
      </c>
      <c r="O547" s="881">
        <f t="shared" ca="1" si="236"/>
        <v>52.287274096385545</v>
      </c>
      <c r="P547" s="881">
        <f t="shared" ca="1" si="237"/>
        <v>52.287274096385545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6"/>
        <v>0</v>
      </c>
      <c r="P548" s="887">
        <f t="shared" si="237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IFERROR(__xludf.DUMMYFUNCTION("IMPORTRANGE(""https://docs.google.com/spreadsheets/d/1QqKyyYR6Q21VydFLVH3TRQUabQu_ym0Zz7PgGX0-kHA/edit?usp=sharing"",""แผน!HB79"")"),308096)</f>
        <v>308096</v>
      </c>
      <c r="M549" s="887">
        <f ca="1">L549</f>
        <v>308096</v>
      </c>
      <c r="N549" s="887">
        <f>N550+N551+N552+N553+N554</f>
        <v>161095</v>
      </c>
      <c r="O549" s="887">
        <f t="shared" ca="1" si="236"/>
        <v>52.287274096385545</v>
      </c>
      <c r="P549" s="887">
        <f t="shared" ca="1" si="237"/>
        <v>52.287274096385545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f>[1]ผลการเบิกจ่ายเงินกองทุน!F21</f>
        <v>64134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f>[1]ผลการเบิกจ่ายเงินกองทุน!F20+[1]ผลการเบิกจ่ายเงินกองทุน!F22+[1]ผลการเบิกจ่ายเงินกองทุน!F24+[1]ผลการเบิกจ่ายเงินกองทุน!F25+[1]ผลการเบิกจ่ายเงินกองทุน!F26+[1]ผลการเบิกจ่ายเงินกองทุน!F27+[1]ผลการเบิกจ่ายเงินกองทุน!F28+[1]ผลการเบิกจ่ายเงินกองทุน!F29+[1]ผลการเบิกจ่ายเงินกองทุน!F30+[1]ผลการเบิกจ่ายเงินกองทุน!F31</f>
        <v>96961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1">L556+L557</f>
        <v>0</v>
      </c>
      <c r="M555" s="881">
        <f t="shared" si="241"/>
        <v>0</v>
      </c>
      <c r="N555" s="881">
        <f t="shared" si="241"/>
        <v>0</v>
      </c>
      <c r="O555" s="881">
        <f t="shared" ref="O555:O557" ca="1" si="242">IF(L555&gt;0,N555*100/L555,0)</f>
        <v>0</v>
      </c>
      <c r="P555" s="881">
        <f t="shared" ref="P555:P557" si="243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2"/>
        <v>0</v>
      </c>
      <c r="P556" s="887">
        <f t="shared" si="243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IFERROR(__xludf.DUMMYFUNCTION("IMPORTRANGE(""https://docs.google.com/spreadsheets/d/1QqKyyYR6Q21VydFLVH3TRQUabQu_ym0Zz7PgGX0-kHA/edit?usp=sharing"",""แผน!HF79"")"),0)</f>
        <v>0</v>
      </c>
      <c r="M557" s="887">
        <v>0</v>
      </c>
      <c r="N557" s="887">
        <v>0</v>
      </c>
      <c r="O557" s="887">
        <f t="shared" ca="1" si="242"/>
        <v>0</v>
      </c>
      <c r="P557" s="887">
        <f t="shared" si="243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4">I576</f>
        <v>5970</v>
      </c>
      <c r="J559" s="1377">
        <f t="shared" si="244"/>
        <v>5970</v>
      </c>
      <c r="K559" s="1378">
        <f t="shared" ref="K559:K561" ca="1" si="245">IF(I559&gt;0,J559*100/I559,0)</f>
        <v>100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IFERROR(__xludf.DUMMYFUNCTION("IMPORTRANGE(""https://docs.google.com/spreadsheets/d/1QqKyyYR6Q21VydFLVH3TRQUabQu_ym0Zz7PgGX0-kHA/edit?usp=sharing"",""แผน!HH79"")"),5970)</f>
        <v>5970</v>
      </c>
      <c r="J560" s="1018">
        <f t="shared" ref="J560:J561" si="246">J562+J564+J566</f>
        <v>5970</v>
      </c>
      <c r="K560" s="1162">
        <f t="shared" ca="1" si="245"/>
        <v>100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IFERROR(__xludf.DUMMYFUNCTION("IMPORTRANGE(""https://docs.google.com/spreadsheets/d/1QqKyyYR6Q21VydFLVH3TRQUabQu_ym0Zz7PgGX0-kHA/edit?usp=sharing"",""แผน!HG79"")"),965)</f>
        <v>965</v>
      </c>
      <c r="J561" s="1018">
        <f t="shared" si="246"/>
        <v>965</v>
      </c>
      <c r="K561" s="1162">
        <f t="shared" ca="1" si="245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5498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888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0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0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472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77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IFERROR(__xludf.DUMMYFUNCTION("IMPORTRANGE(""https://docs.google.com/spreadsheets/d/1QqKyyYR6Q21VydFLVH3TRQUabQu_ym0Zz7PgGX0-kHA/edit?usp=sharing"",""แผน!HH79"")"),5970)</f>
        <v>5970</v>
      </c>
      <c r="J568" s="1019">
        <f t="shared" ref="J568:J569" si="247">J570+J572+J574</f>
        <v>5970</v>
      </c>
      <c r="K568" s="1162">
        <f t="shared" ref="K568:K569" ca="1" si="248">IF(I568&gt;0,J568*100/I568,0)</f>
        <v>100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IFERROR(__xludf.DUMMYFUNCTION("IMPORTRANGE(""https://docs.google.com/spreadsheets/d/1QqKyyYR6Q21VydFLVH3TRQUabQu_ym0Zz7PgGX0-kHA/edit?usp=sharing"",""แผน!HG79"")"),965)</f>
        <v>965</v>
      </c>
      <c r="J569" s="1019">
        <f t="shared" si="247"/>
        <v>965</v>
      </c>
      <c r="K569" s="1162">
        <f t="shared" ca="1" si="248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5498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888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0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0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472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77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IFERROR(__xludf.DUMMYFUNCTION("IMPORTRANGE(""https://docs.google.com/spreadsheets/d/1QqKyyYR6Q21VydFLVH3TRQUabQu_ym0Zz7PgGX0-kHA/edit?usp=sharing"",""แผน!HH79"")"),5970)</f>
        <v>5970</v>
      </c>
      <c r="J576" s="1019">
        <f t="shared" ref="J576:J577" si="249">J578+J580+J582+J588+J590</f>
        <v>5970</v>
      </c>
      <c r="K576" s="1162">
        <f t="shared" ref="K576:K577" ca="1" si="250">IF(I576&gt;0,J576*100/I576,0)</f>
        <v>100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IFERROR(__xludf.DUMMYFUNCTION("IMPORTRANGE(""https://docs.google.com/spreadsheets/d/1QqKyyYR6Q21VydFLVH3TRQUabQu_ym0Zz7PgGX0-kHA/edit?usp=sharing"",""แผน!HG79"")"),965)</f>
        <v>965</v>
      </c>
      <c r="J577" s="1019">
        <f t="shared" si="249"/>
        <v>965</v>
      </c>
      <c r="K577" s="1162">
        <f t="shared" ca="1" si="250"/>
        <v>100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5498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888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0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1">J584+J586</f>
        <v>472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1"/>
        <v>77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472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77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2">I593</f>
        <v>1078.8</v>
      </c>
      <c r="J592" s="1377">
        <f t="shared" si="252"/>
        <v>0</v>
      </c>
      <c r="K592" s="1378">
        <f t="shared" ref="K592:K594" ca="1" si="253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IFERROR(__xludf.DUMMYFUNCTION("IMPORTRANGE(""https://docs.google.com/spreadsheets/d/1QqKyyYR6Q21VydFLVH3TRQUabQu_ym0Zz7PgGX0-kHA/edit?usp=sharing"",""แผน!HJ79"")"),1078.8)</f>
        <v>1078.8</v>
      </c>
      <c r="J593" s="1018">
        <f t="shared" ref="J593:J594" si="254">J595+J603+J609</f>
        <v>0</v>
      </c>
      <c r="K593" s="1162">
        <f t="shared" ca="1" si="253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IFERROR(__xludf.DUMMYFUNCTION("IMPORTRANGE(""https://docs.google.com/spreadsheets/d/1QqKyyYR6Q21VydFLVH3TRQUabQu_ym0Zz7PgGX0-kHA/edit?usp=sharing"",""แผน!HI79"")"),225)</f>
        <v>225</v>
      </c>
      <c r="J594" s="1018">
        <f t="shared" si="254"/>
        <v>0</v>
      </c>
      <c r="K594" s="1162">
        <f t="shared" ca="1" si="253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5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5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6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6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7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8">J614+J616</f>
        <v>0</v>
      </c>
      <c r="K612" s="1409">
        <f t="shared" si="257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8"/>
        <v>0</v>
      </c>
      <c r="K613" s="1409">
        <f t="shared" si="257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IFERROR(__xludf.DUMMYFUNCTION("IMPORTRANGE(""https://docs.google.com/spreadsheets/d/1QqKyyYR6Q21VydFLVH3TRQUabQu_ym0Zz7PgGX0-kHA/edit?usp=sharing"",""แผน!HL79"")"),0)</f>
        <v>0</v>
      </c>
      <c r="J620" s="1417">
        <f t="shared" ref="J620:J621" si="259">J622+J624+J626</f>
        <v>0</v>
      </c>
      <c r="K620" s="1418">
        <f t="shared" ref="K620:K621" ca="1" si="260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IFERROR(__xludf.DUMMYFUNCTION("IMPORTRANGE(""https://docs.google.com/spreadsheets/d/1QqKyyYR6Q21VydFLVH3TRQUabQu_ym0Zz7PgGX0-kHA/edit?usp=sharing"",""แผน!HK79"")"),0)</f>
        <v>0</v>
      </c>
      <c r="J621" s="1417">
        <f t="shared" si="259"/>
        <v>0</v>
      </c>
      <c r="K621" s="1418">
        <f t="shared" ca="1" si="260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1">I651</f>
        <v>7</v>
      </c>
      <c r="J628" s="1426">
        <f t="shared" ca="1" si="261"/>
        <v>22</v>
      </c>
      <c r="K628" s="1427">
        <f ca="1">IF(I628&gt;0,J628*100/I628,0)</f>
        <v>314.28571428571428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2">L630+L631</f>
        <v>167365</v>
      </c>
      <c r="M629" s="1020">
        <f t="shared" ca="1" si="262"/>
        <v>167365</v>
      </c>
      <c r="N629" s="1020">
        <f t="shared" si="262"/>
        <v>67230</v>
      </c>
      <c r="O629" s="1020">
        <f t="shared" ref="O629:O634" ca="1" si="263">IF(L629&gt;0,N629*100/L629,0)</f>
        <v>40.16968900307711</v>
      </c>
      <c r="P629" s="1020">
        <f t="shared" ref="P629:P634" ca="1" si="264">IF(M629&gt;0,N629*100/M629,0)</f>
        <v>40.16968900307711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5">L633+L640</f>
        <v>0</v>
      </c>
      <c r="M630" s="887">
        <f t="shared" si="265"/>
        <v>0</v>
      </c>
      <c r="N630" s="887">
        <f t="shared" si="265"/>
        <v>0</v>
      </c>
      <c r="O630" s="887">
        <f t="shared" si="263"/>
        <v>0</v>
      </c>
      <c r="P630" s="887">
        <f t="shared" si="264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5"/>
        <v>167365</v>
      </c>
      <c r="M631" s="887">
        <f t="shared" ca="1" si="265"/>
        <v>167365</v>
      </c>
      <c r="N631" s="887">
        <f t="shared" si="265"/>
        <v>67230</v>
      </c>
      <c r="O631" s="887">
        <f t="shared" ca="1" si="263"/>
        <v>40.16968900307711</v>
      </c>
      <c r="P631" s="887">
        <f t="shared" ca="1" si="264"/>
        <v>40.16968900307711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6">L633+L634</f>
        <v>167365</v>
      </c>
      <c r="M632" s="881">
        <f t="shared" ca="1" si="266"/>
        <v>167365</v>
      </c>
      <c r="N632" s="881">
        <f t="shared" si="266"/>
        <v>67230</v>
      </c>
      <c r="O632" s="881">
        <f t="shared" ca="1" si="263"/>
        <v>40.16968900307711</v>
      </c>
      <c r="P632" s="881">
        <f t="shared" ca="1" si="264"/>
        <v>40.16968900307711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3"/>
        <v>0</v>
      </c>
      <c r="P633" s="887">
        <f t="shared" si="264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IFERROR(__xludf.DUMMYFUNCTION("IMPORTRANGE(""https://docs.google.com/spreadsheets/d/1QqKyyYR6Q21VydFLVH3TRQUabQu_ym0Zz7PgGX0-kHA/edit?usp=sharing"",""แผน!HN79"")"),167365)</f>
        <v>167365</v>
      </c>
      <c r="M634" s="887">
        <f ca="1">L634</f>
        <v>167365</v>
      </c>
      <c r="N634" s="887">
        <f>N635+N636+N637+N638</f>
        <v>67230</v>
      </c>
      <c r="O634" s="887">
        <f t="shared" ca="1" si="263"/>
        <v>40.16968900307711</v>
      </c>
      <c r="P634" s="887">
        <f t="shared" ca="1" si="264"/>
        <v>40.16968900307711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f>[1]ผลการเบิกจ่ายเงินกองทุน!F36</f>
        <v>67230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7">L640+L641</f>
        <v>0</v>
      </c>
      <c r="M639" s="881">
        <f t="shared" si="267"/>
        <v>0</v>
      </c>
      <c r="N639" s="881">
        <f t="shared" si="267"/>
        <v>0</v>
      </c>
      <c r="O639" s="881">
        <f t="shared" ref="O639:O641" ca="1" si="268">IF(L639&gt;0,N639*100/L639,0)</f>
        <v>0</v>
      </c>
      <c r="P639" s="881">
        <f t="shared" ref="P639:P641" si="269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8"/>
        <v>0</v>
      </c>
      <c r="P640" s="887">
        <f t="shared" si="269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IFERROR(__xludf.DUMMYFUNCTION("IMPORTRANGE(""https://docs.google.com/spreadsheets/d/1QqKyyYR6Q21VydFLVH3TRQUabQu_ym0Zz7PgGX0-kHA/edit?usp=sharing"",""แผน!HQ79"")"),0)</f>
        <v>0</v>
      </c>
      <c r="M641" s="887">
        <v>0</v>
      </c>
      <c r="N641" s="887">
        <v>0</v>
      </c>
      <c r="O641" s="887">
        <f t="shared" ca="1" si="268"/>
        <v>0</v>
      </c>
      <c r="P641" s="887">
        <f t="shared" si="269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IFERROR(__xludf.DUMMYFUNCTION("IMPORTRANGE(""https://docs.google.com/spreadsheets/d/1QqKyyYR6Q21VydFLVH3TRQUabQu_ym0Zz7PgGX0-kHA/edit?usp=sharing"",""แผน!HR79"")"),0)</f>
        <v>0</v>
      </c>
      <c r="J643" s="1012">
        <v>0</v>
      </c>
      <c r="K643" s="998">
        <f t="shared" ref="K643:K652" ca="1" si="270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IFERROR(__xludf.DUMMYFUNCTION("IMPORTRANGE(""https://docs.google.com/spreadsheets/d/1QqKyyYR6Q21VydFLVH3TRQUabQu_ym0Zz7PgGX0-kHA/edit?usp=sharing"",""แผน!HR79"")"),0)</f>
        <v>0</v>
      </c>
      <c r="J644" s="1012">
        <v>0</v>
      </c>
      <c r="K644" s="998">
        <f t="shared" ca="1" si="270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IFERROR(__xludf.DUMMYFUNCTION("IMPORTRANGE(""https://docs.google.com/spreadsheets/d/1XWAQStnk-4SwqDmLtmXYiTMKHgktTP8We1SCoS47DrQ/edit?usp=sharing"",""จัดที่ดิน!AS79"")"),23)</f>
        <v>23</v>
      </c>
      <c r="K645" s="998">
        <f t="shared" si="270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IFERROR(__xludf.DUMMYFUNCTION("IMPORTRANGE(""https://docs.google.com/spreadsheets/d/1XWAQStnk-4SwqDmLtmXYiTMKHgktTP8We1SCoS47DrQ/edit?usp=sharing"",""จัดที่ดิน!AT79"")"),5.61)</f>
        <v>5.61</v>
      </c>
      <c r="K646" s="881">
        <f t="shared" si="270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IFERROR(__xludf.DUMMYFUNCTION("IMPORTRANGE(""https://docs.google.com/spreadsheets/d/1QqKyyYR6Q21VydFLVH3TRQUabQu_ym0Zz7PgGX0-kHA/edit?usp=sharing"",""แผน!HS79"")"),7)</f>
        <v>7</v>
      </c>
      <c r="J647" s="880">
        <f ca="1">IFERROR(__xludf.DUMMYFUNCTION("IMPORTRANGE(""https://docs.google.com/spreadsheets/d/1XWAQStnk-4SwqDmLtmXYiTMKHgktTP8We1SCoS47DrQ/edit?usp=sharing"",""จัดที่ดิน!AU79"")"),22)</f>
        <v>22</v>
      </c>
      <c r="K647" s="998">
        <f t="shared" ca="1" si="270"/>
        <v>314.28571428571428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IFERROR(__xludf.DUMMYFUNCTION("IMPORTRANGE(""https://docs.google.com/spreadsheets/d/1XWAQStnk-4SwqDmLtmXYiTMKHgktTP8We1SCoS47DrQ/edit?usp=sharing"",""จัดที่ดิน!AV79"")"),5.38)</f>
        <v>5.38</v>
      </c>
      <c r="K648" s="881">
        <f t="shared" si="270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IFERROR(__xludf.DUMMYFUNCTION("IMPORTRANGE(""https://docs.google.com/spreadsheets/d/1QqKyyYR6Q21VydFLVH3TRQUabQu_ym0Zz7PgGX0-kHA/edit?usp=sharing"",""แผน!HS79"")"),7)</f>
        <v>7</v>
      </c>
      <c r="J649" s="880">
        <f ca="1">IFERROR(__xludf.DUMMYFUNCTION("IMPORTRANGE(""https://docs.google.com/spreadsheets/d/1XWAQStnk-4SwqDmLtmXYiTMKHgktTP8We1SCoS47DrQ/edit?usp=sharing"",""จัดที่ดิน!AW79"")"),22)</f>
        <v>22</v>
      </c>
      <c r="K649" s="998">
        <f t="shared" ca="1" si="270"/>
        <v>314.28571428571428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IFERROR(__xludf.DUMMYFUNCTION("IMPORTRANGE(""https://docs.google.com/spreadsheets/d/1XWAQStnk-4SwqDmLtmXYiTMKHgktTP8We1SCoS47DrQ/edit?usp=sharing"",""จัดที่ดิน!AX79"")"),5.38)</f>
        <v>5.38</v>
      </c>
      <c r="K650" s="881">
        <f t="shared" si="270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IFERROR(__xludf.DUMMYFUNCTION("IMPORTRANGE(""https://docs.google.com/spreadsheets/d/1QqKyyYR6Q21VydFLVH3TRQUabQu_ym0Zz7PgGX0-kHA/edit?usp=sharing"",""แผน!HS79"")"),7)</f>
        <v>7</v>
      </c>
      <c r="J651" s="880">
        <f ca="1">IFERROR(__xludf.DUMMYFUNCTION("IMPORTRANGE(""https://docs.google.com/spreadsheets/d/1XWAQStnk-4SwqDmLtmXYiTMKHgktTP8We1SCoS47DrQ/edit?usp=sharing"",""จัดที่ดิน!AY79"")"),22)</f>
        <v>22</v>
      </c>
      <c r="K651" s="998">
        <f t="shared" ca="1" si="270"/>
        <v>314.28571428571428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IFERROR(__xludf.DUMMYFUNCTION("IMPORTRANGE(""https://docs.google.com/spreadsheets/d/1XWAQStnk-4SwqDmLtmXYiTMKHgktTP8We1SCoS47DrQ/edit?usp=sharing"",""จัดที่ดิน!AZ79"")"),5.3825)</f>
        <v>5.3825000000000003</v>
      </c>
      <c r="K652" s="1239">
        <f t="shared" si="270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1">I669</f>
        <v>50</v>
      </c>
      <c r="J654" s="1377">
        <f t="shared" si="271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2">L656+L657</f>
        <v>11000</v>
      </c>
      <c r="M655" s="1020">
        <f t="shared" ca="1" si="272"/>
        <v>11000</v>
      </c>
      <c r="N655" s="1020">
        <f t="shared" si="272"/>
        <v>11000</v>
      </c>
      <c r="O655" s="1020">
        <f t="shared" ref="O655:O660" ca="1" si="273">IF(L655&gt;0,N655*100/L655,0)</f>
        <v>100</v>
      </c>
      <c r="P655" s="1020">
        <f t="shared" ref="P655:P660" ca="1" si="274">IF(M655&gt;0,N655*100/M655,0)</f>
        <v>100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5">L659+L666</f>
        <v>0</v>
      </c>
      <c r="M656" s="887">
        <f t="shared" si="275"/>
        <v>0</v>
      </c>
      <c r="N656" s="887">
        <f t="shared" si="275"/>
        <v>0</v>
      </c>
      <c r="O656" s="887">
        <f t="shared" si="273"/>
        <v>0</v>
      </c>
      <c r="P656" s="887">
        <f t="shared" si="274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5"/>
        <v>11000</v>
      </c>
      <c r="M657" s="887">
        <f t="shared" ca="1" si="275"/>
        <v>11000</v>
      </c>
      <c r="N657" s="887">
        <f t="shared" si="275"/>
        <v>11000</v>
      </c>
      <c r="O657" s="887">
        <f t="shared" ca="1" si="273"/>
        <v>100</v>
      </c>
      <c r="P657" s="887">
        <f t="shared" ca="1" si="274"/>
        <v>100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6">L659+L660</f>
        <v>11000</v>
      </c>
      <c r="M658" s="881">
        <f t="shared" ca="1" si="276"/>
        <v>11000</v>
      </c>
      <c r="N658" s="881">
        <f t="shared" si="276"/>
        <v>11000</v>
      </c>
      <c r="O658" s="881">
        <f t="shared" ca="1" si="273"/>
        <v>100</v>
      </c>
      <c r="P658" s="881">
        <f t="shared" ca="1" si="274"/>
        <v>100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3"/>
        <v>0</v>
      </c>
      <c r="P659" s="887">
        <f t="shared" si="274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IFERROR(__xludf.DUMMYFUNCTION("IMPORTRANGE(""https://docs.google.com/spreadsheets/d/1QqKyyYR6Q21VydFLVH3TRQUabQu_ym0Zz7PgGX0-kHA/edit?usp=sharing"",""แผน!HV79"")"),11000)</f>
        <v>11000</v>
      </c>
      <c r="M660" s="887">
        <f ca="1">L660</f>
        <v>11000</v>
      </c>
      <c r="N660" s="887">
        <f>N661+N662+N663+N664</f>
        <v>11000</v>
      </c>
      <c r="O660" s="887">
        <f t="shared" ca="1" si="273"/>
        <v>100</v>
      </c>
      <c r="P660" s="887">
        <f t="shared" ca="1" si="274"/>
        <v>100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f>[1]ผลการเบิกจ่ายเงินกองทุน!F11</f>
        <v>11000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7">L666+L667</f>
        <v>0</v>
      </c>
      <c r="M665" s="881">
        <f t="shared" si="277"/>
        <v>0</v>
      </c>
      <c r="N665" s="881">
        <f t="shared" si="277"/>
        <v>0</v>
      </c>
      <c r="O665" s="881">
        <f t="shared" ref="O665:O667" si="278">IF(L665&gt;0,N665*100/L665,0)</f>
        <v>0</v>
      </c>
      <c r="P665" s="881">
        <f t="shared" ref="P665:P667" si="279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8"/>
        <v>0</v>
      </c>
      <c r="P666" s="887">
        <f t="shared" si="279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8"/>
        <v>0</v>
      </c>
      <c r="P667" s="887">
        <f t="shared" si="279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IFERROR(__xludf.DUMMYFUNCTION("IMPORTRANGE(""https://docs.google.com/spreadsheets/d/1QqKyyYR6Q21VydFLVH3TRQUabQu_ym0Zz7PgGX0-kHA/edit?usp=sharing"",""แผน!IA79"")"),50)</f>
        <v>50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IFERROR(__xludf.DUMMYFUNCTION("IMPORTRANGE(""https://docs.google.com/spreadsheets/d/1QqKyyYR6Q21VydFLVH3TRQUabQu_ym0Zz7PgGX0-kHA/edit?usp=sharing"",""แผน!HZ79"")"),5)</f>
        <v>5</v>
      </c>
      <c r="J670" s="1012">
        <v>5</v>
      </c>
      <c r="K670" s="881">
        <f ca="1">IF(I670&gt;0,(J670*100)/I670,0)</f>
        <v>100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IFERROR(__xludf.DUMMYFUNCTION("IMPORTRANGE(""https://docs.google.com/spreadsheets/d/1QqKyyYR6Q21VydFLVH3TRQUabQu_ym0Zz7PgGX0-kHA/edit?usp=sharing"",""แผน!HZ79"")"),5)</f>
        <v>5</v>
      </c>
      <c r="J671" s="1012">
        <v>5</v>
      </c>
      <c r="K671" s="881">
        <f ca="1">IF(I$671&gt;0,J671*100/I$671,0)</f>
        <v>100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57</v>
      </c>
      <c r="K672" s="881">
        <f t="shared" ref="K672:K675" ca="1" si="280">IF(I$669&gt;0,J672*100/I$669,0)</f>
        <v>114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57</v>
      </c>
      <c r="K673" s="881">
        <f t="shared" ca="1" si="280"/>
        <v>114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0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0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IFERROR(__xludf.DUMMYFUNCTION("IMPORTRANGE(""https://docs.google.com/spreadsheets/d/1QqKyyYR6Q21VydFLVH3TRQUabQu_ym0Zz7PgGX0-kHA/edit?usp=sharing"",""แผน!IB79"")"),0)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1">L686+L687</f>
        <v>37480</v>
      </c>
      <c r="M685" s="1020">
        <f t="shared" ca="1" si="281"/>
        <v>37480</v>
      </c>
      <c r="N685" s="1020">
        <f t="shared" si="281"/>
        <v>1000</v>
      </c>
      <c r="O685" s="1020">
        <f t="shared" ref="O685:O688" ca="1" si="282">IF(L685&gt;0,N685*100/L685,0)</f>
        <v>2.6680896478121663</v>
      </c>
      <c r="P685" s="1020">
        <f t="shared" ref="P685:P688" ca="1" si="283">IF(M685&gt;0,N685*100/M685,0)</f>
        <v>2.6680896478121663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4">L689+L696</f>
        <v>0</v>
      </c>
      <c r="M686" s="887">
        <f t="shared" si="284"/>
        <v>0</v>
      </c>
      <c r="N686" s="887">
        <f t="shared" si="284"/>
        <v>0</v>
      </c>
      <c r="O686" s="887">
        <f t="shared" si="282"/>
        <v>0</v>
      </c>
      <c r="P686" s="887">
        <f t="shared" si="283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4"/>
        <v>37480</v>
      </c>
      <c r="M687" s="887">
        <f t="shared" ca="1" si="284"/>
        <v>37480</v>
      </c>
      <c r="N687" s="887">
        <f t="shared" si="284"/>
        <v>1000</v>
      </c>
      <c r="O687" s="887">
        <f t="shared" ca="1" si="282"/>
        <v>2.6680896478121663</v>
      </c>
      <c r="P687" s="887">
        <f t="shared" ca="1" si="283"/>
        <v>2.6680896478121663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5">L689+L690</f>
        <v>37480</v>
      </c>
      <c r="M688" s="881">
        <f t="shared" ca="1" si="285"/>
        <v>37480</v>
      </c>
      <c r="N688" s="881">
        <f t="shared" si="285"/>
        <v>1000</v>
      </c>
      <c r="O688" s="881">
        <f t="shared" ca="1" si="282"/>
        <v>2.6680896478121663</v>
      </c>
      <c r="P688" s="881">
        <f t="shared" ca="1" si="283"/>
        <v>2.6680896478121663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IFERROR(__xludf.DUMMYFUNCTION("IMPORTRANGE(""https://docs.google.com/spreadsheets/d/1QqKyyYR6Q21VydFLVH3TRQUabQu_ym0Zz7PgGX0-kHA/edit?usp=sharing"",""แผน!HW79"")"),37480)</f>
        <v>37480</v>
      </c>
      <c r="M690" s="887">
        <f ca="1">L690</f>
        <v>37480</v>
      </c>
      <c r="N690" s="887">
        <f>N691+N692+N693+N694</f>
        <v>1000</v>
      </c>
      <c r="O690" s="887">
        <f ca="1">IF(L690&gt;0,N690*100/L690,0)</f>
        <v>2.6680896478121663</v>
      </c>
      <c r="P690" s="887">
        <f ca="1">IF(M690&gt;0,N690*100/M690,0)</f>
        <v>2.6680896478121663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f>[1]ผลการเบิกจ่ายเงินกองทุน!F6</f>
        <v>1000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6">L696+L697</f>
        <v>0</v>
      </c>
      <c r="M695" s="881">
        <f t="shared" si="286"/>
        <v>0</v>
      </c>
      <c r="N695" s="881">
        <f t="shared" si="286"/>
        <v>0</v>
      </c>
      <c r="O695" s="881">
        <f t="shared" ref="O695:O697" si="287">IF(L695&gt;0,N695*100/L695,0)</f>
        <v>0</v>
      </c>
      <c r="P695" s="881">
        <f t="shared" ref="P695:P697" si="288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7"/>
        <v>0</v>
      </c>
      <c r="P696" s="887">
        <f t="shared" si="288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7"/>
        <v>0</v>
      </c>
      <c r="P697" s="887">
        <f t="shared" si="288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IFERROR(__xludf.DUMMYFUNCTION("IMPORTRANGE(""https://docs.google.com/spreadsheets/d/1QqKyyYR6Q21VydFLVH3TRQUabQu_ym0Zz7PgGX0-kHA/edit?usp=sharing"",""แผน!IC79"")"),248)</f>
        <v>248</v>
      </c>
      <c r="J699" s="880">
        <f ca="1">IFERROR(__xludf.DUMMYFUNCTION("IMPORTRANGE(""https://docs.google.com/spreadsheets/d/1XWAQStnk-4SwqDmLtmXYiTMKHgktTP8We1SCoS47DrQ/edit?usp=sharing"",""จัดที่ดิน!BB79"")"),0)</f>
        <v>0</v>
      </c>
      <c r="K699" s="881">
        <f t="shared" ref="K699:K701" ca="1" si="289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IFERROR(__xludf.DUMMYFUNCTION("IMPORTRANGE(""https://docs.google.com/spreadsheets/d/1QqKyyYR6Q21VydFLVH3TRQUabQu_ym0Zz7PgGX0-kHA/edit?usp=sharing"",""แผน!ID79"")"),56)</f>
        <v>56</v>
      </c>
      <c r="J700" s="880">
        <f ca="1">IFERROR(__xludf.DUMMYFUNCTION("IMPORTRANGE(""https://docs.google.com/spreadsheets/d/1XWAQStnk-4SwqDmLtmXYiTMKHgktTP8We1SCoS47DrQ/edit?usp=sharing"",""จัดที่ดิน!BD79"")"),0)</f>
        <v>0</v>
      </c>
      <c r="K700" s="881">
        <f t="shared" ca="1" si="289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IFERROR(__xludf.DUMMYFUNCTION("IMPORTRANGE(""https://docs.google.com/spreadsheets/d/1QqKyyYR6Q21VydFLVH3TRQUabQu_ym0Zz7PgGX0-kHA/edit?usp=sharing"",""แผน!IE79"")"),0)</f>
        <v>0</v>
      </c>
      <c r="J701" s="1019">
        <f>J704+J707</f>
        <v>0</v>
      </c>
      <c r="K701" s="1020">
        <f t="shared" ca="1" si="289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IFERROR(__xludf.DUMMYFUNCTION("IMPORTRANGE(""https://docs.google.com/spreadsheets/d/1QqKyyYR6Q21VydFLVH3TRQUabQu_ym0Zz7PgGX0-kHA/edit?usp=sharing"",""แผน!IF79"")"),0)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IFERROR(__xludf.DUMMYFUNCTION("IMPORTRANGE(""https://docs.google.com/spreadsheets/d/1QqKyyYR6Q21VydFLVH3TRQUabQu_ym0Zz7PgGX0-kHA/edit?usp=sharing"",""แผน!IG79"")"),0)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IFERROR(__xludf.DUMMYFUNCTION("IMPORTRANGE(""https://docs.google.com/spreadsheets/d/1QqKyyYR6Q21VydFLVH3TRQUabQu_ym0Zz7PgGX0-kHA/edit?usp=sharing"",""แผน!IH79"")"),0)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IFERROR(__xludf.DUMMYFUNCTION("IMPORTRANGE(""https://docs.google.com/spreadsheets/d/1XWAQStnk-4SwqDmLtmXYiTMKHgktTP8We1SCoS47DrQ/edit?usp=sharing"",""จัดที่ดิน!BF79"")"),0)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IFERROR(__xludf.DUMMYFUNCTION("IMPORTRANGE(""https://docs.google.com/spreadsheets/d/1XWAQStnk-4SwqDmLtmXYiTMKHgktTP8We1SCoS47DrQ/edit?usp=sharing"",""จัดที่ดิน!BG79"")"),0)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IFERROR(__xludf.DUMMYFUNCTION("IMPORTRANGE(""https://docs.google.com/spreadsheets/d/1QqKyyYR6Q21VydFLVH3TRQUabQu_ym0Zz7PgGX0-kHA/edit?usp=sharing"",""แผน!II79"")"),0)</f>
        <v>0</v>
      </c>
      <c r="J720" s="880">
        <f ca="1">IFERROR(__xludf.DUMMYFUNCTION("IMPORTRANGE(""https://docs.google.com/spreadsheets/d/1XWAQStnk-4SwqDmLtmXYiTMKHgktTP8We1SCoS47DrQ/edit?usp=sharing"",""จัดที่ดิน!BH79"")"),0)</f>
        <v>0</v>
      </c>
      <c r="K720" s="881">
        <f t="shared" ref="K720:K723" ca="1" si="290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IFERROR(__xludf.DUMMYFUNCTION("IMPORTRANGE(""https://docs.google.com/spreadsheets/d/1QqKyyYR6Q21VydFLVH3TRQUabQu_ym0Zz7PgGX0-kHA/edit?usp=sharing"",""แผน!IJ79"")"),0)</f>
        <v>0</v>
      </c>
      <c r="J721" s="1019">
        <f ca="1">J723+J726</f>
        <v>0</v>
      </c>
      <c r="K721" s="1020">
        <f t="shared" ca="1" si="290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IFERROR(__xludf.DUMMYFUNCTION("IMPORTRANGE(""https://docs.google.com/spreadsheets/d/1QqKyyYR6Q21VydFLVH3TRQUabQu_ym0Zz7PgGX0-kHA/edit?usp=sharing"",""แผน!IK79"")"),0)</f>
        <v>0</v>
      </c>
      <c r="J722" s="1019">
        <f ca="1">J725+J728</f>
        <v>0</v>
      </c>
      <c r="K722" s="1020">
        <f t="shared" ca="1" si="290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IFERROR(__xludf.DUMMYFUNCTION("IMPORTRANGE(""https://docs.google.com/spreadsheets/d/1QqKyyYR6Q21VydFLVH3TRQUabQu_ym0Zz7PgGX0-kHA/edit?usp=sharing"",""แผน!IL79"")"),0)</f>
        <v>0</v>
      </c>
      <c r="J723" s="880">
        <f ca="1">IFERROR(__xludf.DUMMYFUNCTION("IMPORTRANGE(""https://docs.google.com/spreadsheets/d/1XWAQStnk-4SwqDmLtmXYiTMKHgktTP8We1SCoS47DrQ/edit?usp=sharing"",""จัดที่ดิน!BM79"")"),0)</f>
        <v>0</v>
      </c>
      <c r="K723" s="881">
        <f t="shared" ca="1" si="290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IFERROR(__xludf.DUMMYFUNCTION("IMPORTRANGE(""https://docs.google.com/spreadsheets/d/1XWAQStnk-4SwqDmLtmXYiTMKHgktTP8We1SCoS47DrQ/edit?usp=sharing"",""จัดที่ดิน!BN79"")"),0)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IFERROR(__xludf.DUMMYFUNCTION("IMPORTRANGE(""https://docs.google.com/spreadsheets/d/1QqKyyYR6Q21VydFLVH3TRQUabQu_ym0Zz7PgGX0-kHA/edit?usp=sharing"",""แผน!IM79"")"),0)</f>
        <v>0</v>
      </c>
      <c r="J725" s="880">
        <f ca="1">IFERROR(__xludf.DUMMYFUNCTION("IMPORTRANGE(""https://docs.google.com/spreadsheets/d/1XWAQStnk-4SwqDmLtmXYiTMKHgktTP8We1SCoS47DrQ/edit?usp=sharing"",""จัดที่ดิน!BO79"")"),0)</f>
        <v>0</v>
      </c>
      <c r="K725" s="881">
        <f t="shared" ref="K725:K726" ca="1" si="291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IFERROR(__xludf.DUMMYFUNCTION("IMPORTRANGE(""https://docs.google.com/spreadsheets/d/1QqKyyYR6Q21VydFLVH3TRQUabQu_ym0Zz7PgGX0-kHA/edit?usp=sharing"",""แผน!IN79"")"),0)</f>
        <v>0</v>
      </c>
      <c r="J726" s="880">
        <f ca="1">IFERROR(__xludf.DUMMYFUNCTION("IMPORTRANGE(""https://docs.google.com/spreadsheets/d/1XWAQStnk-4SwqDmLtmXYiTMKHgktTP8We1SCoS47DrQ/edit?usp=sharing"",""จัดที่ดิน!BR79"")"),0)</f>
        <v>0</v>
      </c>
      <c r="K726" s="881">
        <f t="shared" ca="1" si="291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IFERROR(__xludf.DUMMYFUNCTION("IMPORTRANGE(""https://docs.google.com/spreadsheets/d/1XWAQStnk-4SwqDmLtmXYiTMKHgktTP8We1SCoS47DrQ/edit?usp=sharing"",""จัดที่ดิน!BS79"")"),0)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IFERROR(__xludf.DUMMYFUNCTION("IMPORTRANGE(""https://docs.google.com/spreadsheets/d/1QqKyyYR6Q21VydFLVH3TRQUabQu_ym0Zz7PgGX0-kHA/edit?usp=sharing"",""แผน!IO79"")"),0)</f>
        <v>0</v>
      </c>
      <c r="J728" s="880">
        <f ca="1">IFERROR(__xludf.DUMMYFUNCTION("IMPORTRANGE(""https://docs.google.com/spreadsheets/d/1XWAQStnk-4SwqDmLtmXYiTMKHgktTP8We1SCoS47DrQ/edit?usp=sharing"",""จัดที่ดิน!BT79"")"),0)</f>
        <v>0</v>
      </c>
      <c r="K728" s="881">
        <f t="shared" ref="K728:K729" ca="1" si="292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IFERROR(__xludf.DUMMYFUNCTION("IMPORTRANGE(""https://docs.google.com/spreadsheets/d/1QqKyyYR6Q21VydFLVH3TRQUabQu_ym0Zz7PgGX0-kHA/edit?usp=sharing"",""แผน!IP79"")"),0)</f>
        <v>0</v>
      </c>
      <c r="J729" s="1019">
        <f>J732+J735</f>
        <v>0</v>
      </c>
      <c r="K729" s="1020">
        <f t="shared" ca="1" si="292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3">L738+L739</f>
        <v>0</v>
      </c>
      <c r="M737" s="1352">
        <f t="shared" si="293"/>
        <v>0</v>
      </c>
      <c r="N737" s="1352">
        <f t="shared" si="293"/>
        <v>0</v>
      </c>
      <c r="O737" s="1352">
        <f t="shared" ref="O737:O742" si="294">IF(L737&gt;0,N737*100/L737,0)</f>
        <v>0</v>
      </c>
      <c r="P737" s="1352">
        <f t="shared" ref="P737:P742" si="295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6">L741+L748</f>
        <v>0</v>
      </c>
      <c r="M738" s="887">
        <f t="shared" si="296"/>
        <v>0</v>
      </c>
      <c r="N738" s="887">
        <f t="shared" si="296"/>
        <v>0</v>
      </c>
      <c r="O738" s="887">
        <f t="shared" si="294"/>
        <v>0</v>
      </c>
      <c r="P738" s="887">
        <f t="shared" si="295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6"/>
        <v>0</v>
      </c>
      <c r="M739" s="887">
        <f t="shared" si="296"/>
        <v>0</v>
      </c>
      <c r="N739" s="887">
        <f t="shared" si="296"/>
        <v>0</v>
      </c>
      <c r="O739" s="887">
        <f t="shared" si="294"/>
        <v>0</v>
      </c>
      <c r="P739" s="887">
        <f t="shared" si="295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7">L741+L742</f>
        <v>0</v>
      </c>
      <c r="M740" s="1352">
        <f t="shared" si="297"/>
        <v>0</v>
      </c>
      <c r="N740" s="1352">
        <f t="shared" si="297"/>
        <v>0</v>
      </c>
      <c r="O740" s="1352">
        <f t="shared" si="294"/>
        <v>0</v>
      </c>
      <c r="P740" s="1352">
        <f t="shared" si="295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4"/>
        <v>0</v>
      </c>
      <c r="P741" s="887">
        <f t="shared" si="295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4"/>
        <v>0</v>
      </c>
      <c r="P742" s="887">
        <f t="shared" si="295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8">L748+L749</f>
        <v>0</v>
      </c>
      <c r="M747" s="1352">
        <f t="shared" si="298"/>
        <v>0</v>
      </c>
      <c r="N747" s="1352">
        <f t="shared" si="298"/>
        <v>0</v>
      </c>
      <c r="O747" s="1352">
        <f t="shared" ref="O747:O749" si="299">IF(L747&gt;0,N747*100/L747,0)</f>
        <v>0</v>
      </c>
      <c r="P747" s="1352">
        <f t="shared" ref="P747:P749" si="300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299"/>
        <v>0</v>
      </c>
      <c r="P748" s="887">
        <f t="shared" si="300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299"/>
        <v>0</v>
      </c>
      <c r="P749" s="887">
        <f t="shared" si="300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1">L755+L756</f>
        <v>0</v>
      </c>
      <c r="M754" s="1352">
        <f t="shared" si="301"/>
        <v>0</v>
      </c>
      <c r="N754" s="1352">
        <f t="shared" si="301"/>
        <v>0</v>
      </c>
      <c r="O754" s="1352">
        <f t="shared" ref="O754:O759" si="302">IF(L754&gt;0,N754*100/L754,0)</f>
        <v>0</v>
      </c>
      <c r="P754" s="1352">
        <f t="shared" ref="P754:P759" si="303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4">L758+L765</f>
        <v>0</v>
      </c>
      <c r="M755" s="887">
        <f t="shared" si="304"/>
        <v>0</v>
      </c>
      <c r="N755" s="887">
        <f t="shared" si="304"/>
        <v>0</v>
      </c>
      <c r="O755" s="887">
        <f t="shared" si="302"/>
        <v>0</v>
      </c>
      <c r="P755" s="887">
        <f t="shared" si="303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4"/>
        <v>0</v>
      </c>
      <c r="M756" s="887">
        <f t="shared" si="304"/>
        <v>0</v>
      </c>
      <c r="N756" s="887">
        <f t="shared" si="304"/>
        <v>0</v>
      </c>
      <c r="O756" s="887">
        <f t="shared" si="302"/>
        <v>0</v>
      </c>
      <c r="P756" s="887">
        <f t="shared" si="303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5">L758+L759</f>
        <v>0</v>
      </c>
      <c r="M757" s="1352">
        <f t="shared" si="305"/>
        <v>0</v>
      </c>
      <c r="N757" s="1352">
        <f t="shared" si="305"/>
        <v>0</v>
      </c>
      <c r="O757" s="1352">
        <f t="shared" si="302"/>
        <v>0</v>
      </c>
      <c r="P757" s="1352">
        <f t="shared" si="303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2"/>
        <v>0</v>
      </c>
      <c r="P758" s="887">
        <f t="shared" si="303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2"/>
        <v>0</v>
      </c>
      <c r="P759" s="887">
        <f t="shared" si="303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6">L765+L766</f>
        <v>0</v>
      </c>
      <c r="M764" s="1352">
        <f t="shared" si="306"/>
        <v>0</v>
      </c>
      <c r="N764" s="1352">
        <f t="shared" si="306"/>
        <v>0</v>
      </c>
      <c r="O764" s="1352">
        <f t="shared" ref="O764:O766" si="307">IF(L764&gt;0,N764*100/L764,0)</f>
        <v>0</v>
      </c>
      <c r="P764" s="1352">
        <f t="shared" ref="P764:P766" si="308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7"/>
        <v>0</v>
      </c>
      <c r="P765" s="887">
        <f t="shared" si="308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7"/>
        <v>0</v>
      </c>
      <c r="P766" s="887">
        <f t="shared" si="308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09">L771+L772</f>
        <v>0</v>
      </c>
      <c r="M770" s="1352">
        <f t="shared" si="309"/>
        <v>0</v>
      </c>
      <c r="N770" s="1352">
        <f t="shared" si="309"/>
        <v>0</v>
      </c>
      <c r="O770" s="1352">
        <f t="shared" ref="O770:O775" si="310">IF(L770&gt;0,N770*100/L770,0)</f>
        <v>0</v>
      </c>
      <c r="P770" s="1352">
        <f t="shared" ref="P770:P775" si="311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2">L774+L781</f>
        <v>0</v>
      </c>
      <c r="M771" s="887">
        <f t="shared" si="312"/>
        <v>0</v>
      </c>
      <c r="N771" s="887">
        <f t="shared" si="312"/>
        <v>0</v>
      </c>
      <c r="O771" s="887">
        <f t="shared" si="310"/>
        <v>0</v>
      </c>
      <c r="P771" s="887">
        <f t="shared" si="311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2"/>
        <v>0</v>
      </c>
      <c r="M772" s="887">
        <f t="shared" si="312"/>
        <v>0</v>
      </c>
      <c r="N772" s="887">
        <f t="shared" si="312"/>
        <v>0</v>
      </c>
      <c r="O772" s="887">
        <f t="shared" si="310"/>
        <v>0</v>
      </c>
      <c r="P772" s="887">
        <f t="shared" si="311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3">L774+L775</f>
        <v>0</v>
      </c>
      <c r="M773" s="1352">
        <f t="shared" si="313"/>
        <v>0</v>
      </c>
      <c r="N773" s="1352">
        <f t="shared" si="313"/>
        <v>0</v>
      </c>
      <c r="O773" s="1352">
        <f t="shared" si="310"/>
        <v>0</v>
      </c>
      <c r="P773" s="1352">
        <f t="shared" si="311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0"/>
        <v>0</v>
      </c>
      <c r="P774" s="887">
        <f t="shared" si="311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0"/>
        <v>0</v>
      </c>
      <c r="P775" s="887">
        <f t="shared" si="311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4">L781+L782</f>
        <v>0</v>
      </c>
      <c r="M780" s="1352">
        <f t="shared" si="314"/>
        <v>0</v>
      </c>
      <c r="N780" s="1352">
        <f t="shared" si="314"/>
        <v>0</v>
      </c>
      <c r="O780" s="1352">
        <f t="shared" ref="O780:O782" si="315">IF(L780&gt;0,N780*100/L780,0)</f>
        <v>0</v>
      </c>
      <c r="P780" s="1352">
        <f t="shared" ref="P780:P782" si="316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5"/>
        <v>0</v>
      </c>
      <c r="P781" s="887">
        <f t="shared" si="316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5"/>
        <v>0</v>
      </c>
      <c r="P782" s="887">
        <f t="shared" si="316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7">I800</f>
        <v>0</v>
      </c>
      <c r="J785" s="1472">
        <f t="shared" ca="1" si="317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8">L787+L788</f>
        <v>0</v>
      </c>
      <c r="M786" s="1020">
        <f t="shared" si="318"/>
        <v>0</v>
      </c>
      <c r="N786" s="1020">
        <f t="shared" si="318"/>
        <v>0</v>
      </c>
      <c r="O786" s="1020">
        <f t="shared" ref="O786:O791" ca="1" si="319">IF(L786&gt;0,N786*100/L786,0)</f>
        <v>0</v>
      </c>
      <c r="P786" s="1020">
        <f t="shared" ref="P786:P791" si="320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1">L790+L797</f>
        <v>0</v>
      </c>
      <c r="M787" s="887">
        <f t="shared" si="321"/>
        <v>0</v>
      </c>
      <c r="N787" s="887">
        <f t="shared" si="321"/>
        <v>0</v>
      </c>
      <c r="O787" s="887">
        <f t="shared" si="319"/>
        <v>0</v>
      </c>
      <c r="P787" s="887">
        <f t="shared" si="320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1"/>
        <v>0</v>
      </c>
      <c r="M788" s="887">
        <f t="shared" si="321"/>
        <v>0</v>
      </c>
      <c r="N788" s="887">
        <f t="shared" si="321"/>
        <v>0</v>
      </c>
      <c r="O788" s="887">
        <f t="shared" ca="1" si="319"/>
        <v>0</v>
      </c>
      <c r="P788" s="887">
        <f t="shared" si="320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2">L790+L791</f>
        <v>0</v>
      </c>
      <c r="M789" s="881">
        <f t="shared" si="322"/>
        <v>0</v>
      </c>
      <c r="N789" s="881">
        <f t="shared" si="322"/>
        <v>0</v>
      </c>
      <c r="O789" s="881">
        <f t="shared" ca="1" si="319"/>
        <v>0</v>
      </c>
      <c r="P789" s="881">
        <f t="shared" si="320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19"/>
        <v>0</v>
      </c>
      <c r="P790" s="887">
        <f t="shared" si="320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IFERROR(__xludf.DUMMYFUNCTION("IMPORTRANGE(""https://docs.google.com/spreadsheets/d/1QqKyyYR6Q21VydFLVH3TRQUabQu_ym0Zz7PgGX0-kHA/edit?usp=sharing"",""แผน!JJ79"")"),0)</f>
        <v>0</v>
      </c>
      <c r="M791" s="887">
        <v>0</v>
      </c>
      <c r="N791" s="887">
        <f>N792+N793+N794+N795</f>
        <v>0</v>
      </c>
      <c r="O791" s="887">
        <f t="shared" ca="1" si="319"/>
        <v>0</v>
      </c>
      <c r="P791" s="887">
        <f t="shared" si="320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3">L797+L798</f>
        <v>0</v>
      </c>
      <c r="M796" s="881">
        <f t="shared" si="323"/>
        <v>0</v>
      </c>
      <c r="N796" s="881">
        <f t="shared" si="323"/>
        <v>0</v>
      </c>
      <c r="O796" s="881">
        <f t="shared" ref="O796:O798" si="324">IF(L796&gt;0,N796*100/L796,0)</f>
        <v>0</v>
      </c>
      <c r="P796" s="881">
        <f t="shared" ref="P796:P798" si="325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4"/>
        <v>0</v>
      </c>
      <c r="P797" s="887">
        <f t="shared" si="325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4"/>
        <v>0</v>
      </c>
      <c r="P798" s="887">
        <f t="shared" si="325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IFERROR(__xludf.DUMMYFUNCTION("IMPORTRANGE(""https://docs.google.com/spreadsheets/d/1QqKyyYR6Q21VydFLVH3TRQUabQu_ym0Zz7PgGX0-kHA/edit?usp=sharing"",""แผน!JN79"")"),0)</f>
        <v>0</v>
      </c>
      <c r="J800" s="997">
        <f ca="1">IFERROR(__xludf.DUMMYFUNCTION("IMPORTRANGE(""https://docs.google.com/spreadsheets/d/1MaWodYyGHDf7siQLGxnXhG4mBNTNIuy296niS2xXulU/edit?usp=sharing"",""RTK!H79"")"),0)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IFERROR(__xludf.DUMMYFUNCTION("IMPORTRANGE(""https://docs.google.com/spreadsheets/d/1MaWodYyGHDf7siQLGxnXhG4mBNTNIuy296niS2xXulU/edit?usp=sharing"",""RTK!I79"")"),0)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>
        <v>0</v>
      </c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>
        <v>0</v>
      </c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6">L806+L807</f>
        <v>0</v>
      </c>
      <c r="M805" s="1352">
        <f t="shared" si="326"/>
        <v>0</v>
      </c>
      <c r="N805" s="1352">
        <f t="shared" si="326"/>
        <v>0</v>
      </c>
      <c r="O805" s="1352">
        <f t="shared" ref="O805:O810" si="327">IF(L805&gt;0,N805*100/L805,0)</f>
        <v>0</v>
      </c>
      <c r="P805" s="1352">
        <f t="shared" ref="P805:P810" si="328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29">L809+L816</f>
        <v>0</v>
      </c>
      <c r="M806" s="887">
        <f t="shared" si="329"/>
        <v>0</v>
      </c>
      <c r="N806" s="887">
        <f t="shared" si="329"/>
        <v>0</v>
      </c>
      <c r="O806" s="887">
        <f t="shared" si="327"/>
        <v>0</v>
      </c>
      <c r="P806" s="887">
        <f t="shared" si="328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29"/>
        <v>0</v>
      </c>
      <c r="M807" s="887">
        <f t="shared" si="329"/>
        <v>0</v>
      </c>
      <c r="N807" s="887">
        <f t="shared" si="329"/>
        <v>0</v>
      </c>
      <c r="O807" s="887">
        <f t="shared" si="327"/>
        <v>0</v>
      </c>
      <c r="P807" s="887">
        <f t="shared" si="328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0">L809+L810</f>
        <v>0</v>
      </c>
      <c r="M808" s="1352">
        <f t="shared" si="330"/>
        <v>0</v>
      </c>
      <c r="N808" s="1352">
        <f t="shared" si="330"/>
        <v>0</v>
      </c>
      <c r="O808" s="1352">
        <f t="shared" si="327"/>
        <v>0</v>
      </c>
      <c r="P808" s="1352">
        <f t="shared" si="328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7"/>
        <v>0</v>
      </c>
      <c r="P809" s="887">
        <f t="shared" si="328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7"/>
        <v>0</v>
      </c>
      <c r="P810" s="887">
        <f t="shared" si="328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1">L816+L817</f>
        <v>0</v>
      </c>
      <c r="M815" s="1352">
        <f t="shared" si="331"/>
        <v>0</v>
      </c>
      <c r="N815" s="1352">
        <f t="shared" si="331"/>
        <v>0</v>
      </c>
      <c r="O815" s="1352">
        <f t="shared" ref="O815:O817" si="332">IF(L815&gt;0,N815*100/L815,0)</f>
        <v>0</v>
      </c>
      <c r="P815" s="1352">
        <f t="shared" ref="P815:P817" si="333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2"/>
        <v>0</v>
      </c>
      <c r="P816" s="887">
        <f t="shared" si="333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2"/>
        <v>0</v>
      </c>
      <c r="P817" s="887">
        <f t="shared" si="333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343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880">
        <f ca="1">IFERROR(__xludf.DUMMYFUNCTION("IMPORTRANGE(""https://docs.google.com/spreadsheets/d/19vJNZY_5yjcGF2XGBMNZRCAIB0Kwfpjp8YEOfu-bneM/edit?usp=sharing"",""งานกองทุน!F79"")"),315346.52)</f>
        <v>315346.52</v>
      </c>
      <c r="K821" s="881">
        <f t="shared" ref="K821:K828" ca="1" si="334">IF(I821&gt;0,J821*100/I821,0)</f>
        <v>91.366777178178594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IFERROR(__xludf.DUMMYFUNCTION("IMPORTRANGE(""https://docs.google.com/spreadsheets/d/19vJNZY_5yjcGF2XGBMNZRCAIB0Kwfpjp8YEOfu-bneM/edit?usp=sharing"",""งานกองทุน!C79"")"),29)</f>
        <v>29</v>
      </c>
      <c r="J822" s="880">
        <f ca="1">IFERROR(__xludf.DUMMYFUNCTION("IMPORTRANGE(""https://docs.google.com/spreadsheets/d/19vJNZY_5yjcGF2XGBMNZRCAIB0Kwfpjp8YEOfu-bneM/edit?usp=sharing"",""งานกองทุน!E79"")"),27)</f>
        <v>27</v>
      </c>
      <c r="K822" s="881">
        <f t="shared" ca="1" si="334"/>
        <v>93.103448275862064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880">
        <f ca="1">IFERROR(__xludf.DUMMYFUNCTION("IMPORTRANGE(""https://docs.google.com/spreadsheets/d/19vJNZY_5yjcGF2XGBMNZRCAIB0Kwfpjp8YEOfu-bneM/edit?usp=sharing"",""งานกองทุน!K79"")"),21356.42)</f>
        <v>21356.42</v>
      </c>
      <c r="K823" s="881">
        <f t="shared" ca="1" si="334"/>
        <v>8.7511187103441994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IFERROR(__xludf.DUMMYFUNCTION("IMPORTRANGE(""https://docs.google.com/spreadsheets/d/19vJNZY_5yjcGF2XGBMNZRCAIB0Kwfpjp8YEOfu-bneM/edit?usp=sharing"",""งานกองทุน!H79"")"),9)</f>
        <v>9</v>
      </c>
      <c r="J824" s="880">
        <f ca="1">IFERROR(__xludf.DUMMYFUNCTION("IMPORTRANGE(""https://docs.google.com/spreadsheets/d/19vJNZY_5yjcGF2XGBMNZRCAIB0Kwfpjp8YEOfu-bneM/edit?usp=sharing"",""งานกองทุน!J79"")"),8)</f>
        <v>8</v>
      </c>
      <c r="K824" s="881">
        <f t="shared" ca="1" si="334"/>
        <v>88.888888888888886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IFERROR(__xludf.DUMMYFUNCTION("IMPORTRANGE(""https://docs.google.com/spreadsheets/d/19vJNZY_5yjcGF2XGBMNZRCAIB0Kwfpjp8YEOfu-bneM/edit?usp=sharing"",""งานกองทุน!N79"")"),91681.58)</f>
        <v>91681.58</v>
      </c>
      <c r="J825" s="880">
        <f ca="1">IFERROR(__xludf.DUMMYFUNCTION("IMPORTRANGE(""https://docs.google.com/spreadsheets/d/19vJNZY_5yjcGF2XGBMNZRCAIB0Kwfpjp8YEOfu-bneM/edit?usp=sharing"",""งานกองทุน!P79"")"),20345.08)</f>
        <v>20345.080000000002</v>
      </c>
      <c r="K825" s="881">
        <f t="shared" ca="1" si="334"/>
        <v>22.191022449656739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IFERROR(__xludf.DUMMYFUNCTION("IMPORTRANGE(""https://docs.google.com/spreadsheets/d/19vJNZY_5yjcGF2XGBMNZRCAIB0Kwfpjp8YEOfu-bneM/edit?usp=sharing"",""งานกองทุน!M79"")"),172)</f>
        <v>172</v>
      </c>
      <c r="J826" s="880">
        <f ca="1">IFERROR(__xludf.DUMMYFUNCTION("IMPORTRANGE(""https://docs.google.com/spreadsheets/d/19vJNZY_5yjcGF2XGBMNZRCAIB0Kwfpjp8YEOfu-bneM/edit?usp=sharing"",""งานกองทุน!O79"")"),41)</f>
        <v>41</v>
      </c>
      <c r="K826" s="881">
        <f t="shared" ca="1" si="334"/>
        <v>23.837209302325583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IFERROR(__xludf.DUMMYFUNCTION("IMPORTRANGE(""https://docs.google.com/spreadsheets/d/19vJNZY_5yjcGF2XGBMNZRCAIB0Kwfpjp8YEOfu-bneM/edit?usp=sharing"",""งานกองทุน!S79"")"),330000)</f>
        <v>330000</v>
      </c>
      <c r="J827" s="880">
        <f ca="1">IFERROR(__xludf.DUMMYFUNCTION("IMPORTRANGE(""https://docs.google.com/spreadsheets/d/19vJNZY_5yjcGF2XGBMNZRCAIB0Kwfpjp8YEOfu-bneM/edit?usp=sharing"",""งานกองทุน!U79"")"),300000)</f>
        <v>300000</v>
      </c>
      <c r="K827" s="881">
        <f t="shared" ca="1" si="334"/>
        <v>90.909090909090907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IFERROR(__xludf.DUMMYFUNCTION("IMPORTRANGE(""https://docs.google.com/spreadsheets/d/19vJNZY_5yjcGF2XGBMNZRCAIB0Kwfpjp8YEOfu-bneM/edit?usp=sharing"",""งานกองทุน!R79"")"),13)</f>
        <v>13</v>
      </c>
      <c r="J828" s="1138">
        <f ca="1">IFERROR(__xludf.DUMMYFUNCTION("IMPORTRANGE(""https://docs.google.com/spreadsheets/d/19vJNZY_5yjcGF2XGBMNZRCAIB0Kwfpjp8YEOfu-bneM/edit?usp=sharing"",""งานกองทุน!T79"")"),10)</f>
        <v>10</v>
      </c>
      <c r="K828" s="1239">
        <f t="shared" ca="1" si="334"/>
        <v>76.92307692307692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AFB70-52CD-4078-B884-E34363B63A4E}">
  <sheetPr>
    <outlinePr summaryBelow="0" summaryRight="0"/>
    <pageSetUpPr fitToPage="1"/>
  </sheetPr>
  <dimension ref="A1:Z828"/>
  <sheetViews>
    <sheetView zoomScale="85" zoomScaleNormal="85" workbookViewId="0">
      <pane ySplit="7" topLeftCell="A8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9" width="16.140625" style="852" bestFit="1" customWidth="1"/>
    <col min="10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344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3009713</v>
      </c>
      <c r="M8" s="867">
        <f t="shared" ca="1" si="0"/>
        <v>2608859</v>
      </c>
      <c r="N8" s="867">
        <f t="shared" ca="1" si="0"/>
        <v>1651945.51</v>
      </c>
      <c r="O8" s="867">
        <f t="shared" ref="O8:O16" ca="1" si="1">IF(L8&gt;0,N8*100/L8,0)</f>
        <v>54.887144056592774</v>
      </c>
      <c r="P8" s="867">
        <f t="shared" ref="P8:P16" ca="1" si="2">IF(M8&gt;0,N8*100/M8,0)</f>
        <v>63.320612957618636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3009713</v>
      </c>
      <c r="M10" s="874">
        <f t="shared" ca="1" si="3"/>
        <v>2608859</v>
      </c>
      <c r="N10" s="874">
        <f t="shared" ca="1" si="3"/>
        <v>1651945.51</v>
      </c>
      <c r="O10" s="874">
        <f t="shared" ca="1" si="1"/>
        <v>54.887144056592774</v>
      </c>
      <c r="P10" s="874">
        <f t="shared" ca="1" si="2"/>
        <v>63.320612957618636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2933713</v>
      </c>
      <c r="M11" s="881">
        <f t="shared" ca="1" si="4"/>
        <v>2532859</v>
      </c>
      <c r="N11" s="881">
        <f t="shared" ca="1" si="4"/>
        <v>1575945.51</v>
      </c>
      <c r="O11" s="881">
        <f t="shared" ca="1" si="1"/>
        <v>53.718462235399308</v>
      </c>
      <c r="P11" s="881">
        <f t="shared" ca="1" si="2"/>
        <v>62.22002527578519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2933713</v>
      </c>
      <c r="M13" s="887">
        <f t="shared" ca="1" si="5"/>
        <v>2532859</v>
      </c>
      <c r="N13" s="887">
        <f t="shared" ca="1" si="5"/>
        <v>1575945.51</v>
      </c>
      <c r="O13" s="887">
        <f t="shared" ca="1" si="1"/>
        <v>53.718462235399308</v>
      </c>
      <c r="P13" s="887">
        <f t="shared" ca="1" si="2"/>
        <v>62.22002527578519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76000</v>
      </c>
      <c r="M14" s="881">
        <f t="shared" ca="1" si="6"/>
        <v>76000</v>
      </c>
      <c r="N14" s="881">
        <f t="shared" ca="1" si="6"/>
        <v>76000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76000</v>
      </c>
      <c r="M16" s="893">
        <f t="shared" ca="1" si="7"/>
        <v>76000</v>
      </c>
      <c r="N16" s="893">
        <f t="shared" ca="1" si="7"/>
        <v>76000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2425392</v>
      </c>
      <c r="M18" s="867">
        <f t="shared" ca="1" si="8"/>
        <v>2024538</v>
      </c>
      <c r="N18" s="867">
        <f t="shared" ca="1" si="8"/>
        <v>1396589.51</v>
      </c>
      <c r="O18" s="867">
        <f t="shared" ref="O18:O26" ca="1" si="9">IF(L18&gt;0,N18*100/L18,0)</f>
        <v>57.582011897458223</v>
      </c>
      <c r="P18" s="867">
        <f t="shared" ref="P18:P26" ca="1" si="10">IF(M18&gt;0,N18*100/M18,0)</f>
        <v>68.983121581318798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2425392</v>
      </c>
      <c r="M20" s="874">
        <f t="shared" ca="1" si="11"/>
        <v>2024538</v>
      </c>
      <c r="N20" s="874">
        <f t="shared" ca="1" si="11"/>
        <v>1396589.51</v>
      </c>
      <c r="O20" s="874">
        <f t="shared" ca="1" si="9"/>
        <v>57.582011897458223</v>
      </c>
      <c r="P20" s="874">
        <f t="shared" ca="1" si="10"/>
        <v>68.983121581318798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2349392</v>
      </c>
      <c r="M21" s="881">
        <f t="shared" ca="1" si="12"/>
        <v>1948538</v>
      </c>
      <c r="N21" s="881">
        <f t="shared" ca="1" si="12"/>
        <v>1320589.51</v>
      </c>
      <c r="O21" s="881">
        <f t="shared" ca="1" si="9"/>
        <v>56.209841099314204</v>
      </c>
      <c r="P21" s="881">
        <f t="shared" ca="1" si="10"/>
        <v>67.773351610284223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2349392</v>
      </c>
      <c r="M23" s="887">
        <f t="shared" ca="1" si="13"/>
        <v>1948538</v>
      </c>
      <c r="N23" s="887">
        <f t="shared" ca="1" si="13"/>
        <v>1320589.51</v>
      </c>
      <c r="O23" s="887">
        <f t="shared" ca="1" si="9"/>
        <v>56.209841099314204</v>
      </c>
      <c r="P23" s="887">
        <f t="shared" ca="1" si="10"/>
        <v>67.773351610284223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76000</v>
      </c>
      <c r="M24" s="881">
        <f t="shared" ca="1" si="14"/>
        <v>76000</v>
      </c>
      <c r="N24" s="881">
        <f t="shared" ca="1" si="14"/>
        <v>76000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76000</v>
      </c>
      <c r="M26" s="893">
        <f t="shared" ca="1" si="15"/>
        <v>76000</v>
      </c>
      <c r="N26" s="893">
        <f t="shared" ca="1" si="15"/>
        <v>76000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584321</v>
      </c>
      <c r="M28" s="867">
        <f t="shared" ca="1" si="16"/>
        <v>584321</v>
      </c>
      <c r="N28" s="867">
        <f t="shared" si="16"/>
        <v>255356</v>
      </c>
      <c r="O28" s="867">
        <f t="shared" ref="O28:O37" ca="1" si="17">IF(L28&gt;0,N28*100/L28,0)</f>
        <v>43.701321705021726</v>
      </c>
      <c r="P28" s="867">
        <f t="shared" ref="P28:P37" ca="1" si="18">IF(M28&gt;0,N28*100/M28,0)</f>
        <v>43.701321705021726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584321</v>
      </c>
      <c r="M30" s="874">
        <f t="shared" ca="1" si="19"/>
        <v>584321</v>
      </c>
      <c r="N30" s="874">
        <f t="shared" si="19"/>
        <v>255356</v>
      </c>
      <c r="O30" s="874">
        <f t="shared" ca="1" si="17"/>
        <v>43.701321705021726</v>
      </c>
      <c r="P30" s="874">
        <f t="shared" ca="1" si="18"/>
        <v>43.701321705021726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584321</v>
      </c>
      <c r="M31" s="881">
        <f t="shared" ca="1" si="20"/>
        <v>584321</v>
      </c>
      <c r="N31" s="881">
        <f t="shared" si="20"/>
        <v>255356</v>
      </c>
      <c r="O31" s="881">
        <f t="shared" ca="1" si="17"/>
        <v>43.701321705021726</v>
      </c>
      <c r="P31" s="881">
        <f t="shared" ca="1" si="18"/>
        <v>43.701321705021726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584321</v>
      </c>
      <c r="M33" s="887">
        <f t="shared" ca="1" si="21"/>
        <v>584321</v>
      </c>
      <c r="N33" s="887">
        <f t="shared" si="21"/>
        <v>255356</v>
      </c>
      <c r="O33" s="887">
        <f t="shared" ca="1" si="17"/>
        <v>43.701321705021726</v>
      </c>
      <c r="P33" s="887">
        <f t="shared" ca="1" si="18"/>
        <v>43.701321705021726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2425392</v>
      </c>
      <c r="M37" s="900">
        <f t="shared" ca="1" si="24"/>
        <v>2024538</v>
      </c>
      <c r="N37" s="900">
        <f t="shared" ca="1" si="24"/>
        <v>1396589.51</v>
      </c>
      <c r="O37" s="900">
        <f t="shared" ca="1" si="17"/>
        <v>57.582011897458223</v>
      </c>
      <c r="P37" s="900">
        <f t="shared" ca="1" si="18"/>
        <v>68.983121581318798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376442</v>
      </c>
      <c r="M41" s="926">
        <f t="shared" ca="1" si="25"/>
        <v>436133</v>
      </c>
      <c r="N41" s="926">
        <f t="shared" ca="1" si="25"/>
        <v>254743</v>
      </c>
      <c r="O41" s="926">
        <f t="shared" ref="O41:O49" ca="1" si="26">IF(L41&gt;0,N41*100/L41,0)</f>
        <v>67.671248160407174</v>
      </c>
      <c r="P41" s="926">
        <f t="shared" ref="P41:P49" ca="1" si="27">IF(M41&gt;0,N41*100/M41,0)</f>
        <v>58.409476008465305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376442</v>
      </c>
      <c r="M43" s="932">
        <f t="shared" ca="1" si="28"/>
        <v>436133</v>
      </c>
      <c r="N43" s="932">
        <f t="shared" ca="1" si="28"/>
        <v>254743</v>
      </c>
      <c r="O43" s="932">
        <f t="shared" ca="1" si="26"/>
        <v>67.671248160407174</v>
      </c>
      <c r="P43" s="932">
        <f t="shared" ca="1" si="27"/>
        <v>58.409476008465305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376442</v>
      </c>
      <c r="M44" s="881">
        <f t="shared" ca="1" si="29"/>
        <v>436133</v>
      </c>
      <c r="N44" s="881">
        <f t="shared" ca="1" si="29"/>
        <v>254743</v>
      </c>
      <c r="O44" s="881">
        <f t="shared" ca="1" si="26"/>
        <v>67.671248160407174</v>
      </c>
      <c r="P44" s="881">
        <f t="shared" ca="1" si="27"/>
        <v>58.409476008465305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IFERROR(__xludf.DUMMYFUNCTION("IMPORTRANGE(""https://docs.google.com/spreadsheets/d/1MeEWN-I1oV_STSDYn1IFDPWt_1FKiwhDph83XaGc0o0/edit?usp=sharing"",""งบพรบ!M80"")"),376442)</f>
        <v>376442</v>
      </c>
      <c r="M46" s="887">
        <f ca="1">IFERROR(__xludf.DUMMYFUNCTION("IMPORTRANGE(""https://docs.google.com/spreadsheets/d/1MeEWN-I1oV_STSDYn1IFDPWt_1FKiwhDph83XaGc0o0/edit?usp=sharing"",""งบพรบ!R80"")"),436133)</f>
        <v>436133</v>
      </c>
      <c r="N46" s="887">
        <f ca="1">IFERROR(__xludf.DUMMYFUNCTION("IMPORTRANGE(""https://docs.google.com/spreadsheets/d/1MeEWN-I1oV_STSDYn1IFDPWt_1FKiwhDph83XaGc0o0/edit?usp=sharing"",""งบพรบ!T80"")"),254743)</f>
        <v>254743</v>
      </c>
      <c r="O46" s="887">
        <f t="shared" ca="1" si="26"/>
        <v>67.671248160407174</v>
      </c>
      <c r="P46" s="887">
        <f t="shared" ca="1" si="27"/>
        <v>58.409476008465305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IFERROR(__xludf.DUMMYFUNCTION("IMPORTRANGE(""https://docs.google.com/spreadsheets/d/1MeEWN-I1oV_STSDYn1IFDPWt_1FKiwhDph83XaGc0o0/edit?usp=sharing"",""งบพรบ!P80"")"),0)</f>
        <v>0</v>
      </c>
      <c r="M49" s="893">
        <f ca="1">IFERROR(__xludf.DUMMYFUNCTION("IMPORTRANGE(""https://docs.google.com/spreadsheets/d/1MeEWN-I1oV_STSDYn1IFDPWt_1FKiwhDph83XaGc0o0/edit?usp=sharing"",""งบพรบ!S80"")"),0)</f>
        <v>0</v>
      </c>
      <c r="N49" s="893">
        <f ca="1">IFERROR(__xludf.DUMMYFUNCTION("IMPORTRANGE(""https://docs.google.com/spreadsheets/d/1MeEWN-I1oV_STSDYn1IFDPWt_1FKiwhDph83XaGc0o0/edit?usp=sharing"",""งบพรบ!U80"")"),0)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572600</v>
      </c>
      <c r="M53" s="956">
        <f t="shared" ca="1" si="31"/>
        <v>429450</v>
      </c>
      <c r="N53" s="956">
        <f t="shared" ca="1" si="31"/>
        <v>314580.28000000003</v>
      </c>
      <c r="O53" s="956">
        <f t="shared" ref="O53:O61" ca="1" si="32">IF(L53&gt;0,N53*100/L53,0)</f>
        <v>54.938924205378981</v>
      </c>
      <c r="P53" s="956">
        <f t="shared" ref="P53:P61" ca="1" si="33">IF(M53&gt;0,N53*100/M53,0)</f>
        <v>73.251898940505299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572600</v>
      </c>
      <c r="M55" s="962">
        <f t="shared" ca="1" si="34"/>
        <v>429450</v>
      </c>
      <c r="N55" s="962">
        <f t="shared" ca="1" si="34"/>
        <v>314580.28000000003</v>
      </c>
      <c r="O55" s="962">
        <f t="shared" ca="1" si="32"/>
        <v>54.938924205378981</v>
      </c>
      <c r="P55" s="962">
        <f t="shared" ca="1" si="33"/>
        <v>73.251898940505299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572600</v>
      </c>
      <c r="M56" s="881">
        <f t="shared" ca="1" si="35"/>
        <v>429450</v>
      </c>
      <c r="N56" s="881">
        <f t="shared" ca="1" si="35"/>
        <v>314580.28000000003</v>
      </c>
      <c r="O56" s="881">
        <f t="shared" ca="1" si="32"/>
        <v>54.938924205378981</v>
      </c>
      <c r="P56" s="881">
        <f t="shared" ca="1" si="33"/>
        <v>73.251898940505299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IFERROR(__xludf.DUMMYFUNCTION("IMPORTRANGE(""https://docs.google.com/spreadsheets/d/1MeEWN-I1oV_STSDYn1IFDPWt_1FKiwhDph83XaGc0o0/edit?usp=sharing"",""งบพรบ!W80"")"),572600)</f>
        <v>572600</v>
      </c>
      <c r="M58" s="887">
        <f ca="1">IFERROR(__xludf.DUMMYFUNCTION("IMPORTRANGE(""https://docs.google.com/spreadsheets/d/1MeEWN-I1oV_STSDYn1IFDPWt_1FKiwhDph83XaGc0o0/edit?usp=sharing"",""งบพรบ!AB80"")"),429450)</f>
        <v>429450</v>
      </c>
      <c r="N58" s="887">
        <f ca="1">IFERROR(__xludf.DUMMYFUNCTION("IMPORTRANGE(""https://docs.google.com/spreadsheets/d/1MeEWN-I1oV_STSDYn1IFDPWt_1FKiwhDph83XaGc0o0/edit?usp=sharing"",""งบพรบ!AD80"")"),314580.28)</f>
        <v>314580.28000000003</v>
      </c>
      <c r="O58" s="887">
        <f t="shared" ca="1" si="32"/>
        <v>54.938924205378981</v>
      </c>
      <c r="P58" s="887">
        <f t="shared" ca="1" si="33"/>
        <v>73.251898940505299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0</v>
      </c>
      <c r="M59" s="881">
        <f t="shared" ca="1" si="36"/>
        <v>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IFERROR(__xludf.DUMMYFUNCTION("IMPORTRANGE(""https://docs.google.com/spreadsheets/d/1MeEWN-I1oV_STSDYn1IFDPWt_1FKiwhDph83XaGc0o0/edit?usp=sharing"",""งบพรบ!Z80"")"),0)</f>
        <v>0</v>
      </c>
      <c r="M61" s="893">
        <f ca="1">IFERROR(__xludf.DUMMYFUNCTION("IMPORTRANGE(""https://docs.google.com/spreadsheets/d/1MeEWN-I1oV_STSDYn1IFDPWt_1FKiwhDph83XaGc0o0/edit?usp=sharing"",""งบพรบ!AC80"")"),0)</f>
        <v>0</v>
      </c>
      <c r="N61" s="893">
        <f ca="1">IFERROR(__xludf.DUMMYFUNCTION("IMPORTRANGE(""https://docs.google.com/spreadsheets/d/1MeEWN-I1oV_STSDYn1IFDPWt_1FKiwhDph83XaGc0o0/edit?usp=sharing"",""งบพรบ!AE80"")"),0)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IFERROR(__xludf.DUMMYFUNCTION("IMPORTRANGE(""https://docs.google.com/spreadsheets/d/1MeEWN-I1oV_STSDYn1IFDPWt_1FKiwhDph83XaGc0o0/edit?usp=sharing"",""งบพรบ!AG80"")"),0)</f>
        <v>0</v>
      </c>
      <c r="M71" s="887">
        <f ca="1">IFERROR(__xludf.DUMMYFUNCTION("IMPORTRANGE(""https://docs.google.com/spreadsheets/d/1MeEWN-I1oV_STSDYn1IFDPWt_1FKiwhDph83XaGc0o0/edit?usp=sharing"",""งบพรบ!AL80"")"),0)</f>
        <v>0</v>
      </c>
      <c r="N71" s="887">
        <f ca="1">IFERROR(__xludf.DUMMYFUNCTION("IMPORTRANGE(""https://docs.google.com/spreadsheets/d/1MeEWN-I1oV_STSDYn1IFDPWt_1FKiwhDph83XaGc0o0/edit?usp=sharing"",""งบพรบ!AN80"")"),0)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IFERROR(__xludf.DUMMYFUNCTION("IMPORTRANGE(""https://docs.google.com/spreadsheets/d/1MeEWN-I1oV_STSDYn1IFDPWt_1FKiwhDph83XaGc0o0/edit?usp=sharing"",""งบพรบ!AJ80"")"),0)</f>
        <v>0</v>
      </c>
      <c r="M74" s="887">
        <f ca="1">IFERROR(__xludf.DUMMYFUNCTION("IMPORTRANGE(""https://docs.google.com/spreadsheets/d/1MeEWN-I1oV_STSDYn1IFDPWt_1FKiwhDph83XaGc0o0/edit?usp=sharing"",""งบพรบ!AM80"")"),0)</f>
        <v>0</v>
      </c>
      <c r="N74" s="887">
        <f ca="1">IFERROR(__xludf.DUMMYFUNCTION("IMPORTRANGE(""https://docs.google.com/spreadsheets/d/1MeEWN-I1oV_STSDYn1IFDPWt_1FKiwhDph83XaGc0o0/edit?usp=sharing"",""งบพรบ!AO80"")"),0)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IFERROR(__xludf.DUMMYFUNCTION("IMPORTRANGE(""https://docs.google.com/spreadsheets/d/1QqKyyYR6Q21VydFLVH3TRQUabQu_ym0Zz7PgGX0-kHA/edit?usp=sharing"",""แผน!H80"")"),0)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IFERROR(__xludf.DUMMYFUNCTION("IMPORTRANGE(""https://docs.google.com/spreadsheets/d/1QqKyyYR6Q21VydFLVH3TRQUabQu_ym0Zz7PgGX0-kHA/edit?usp=sharing"",""แผน!I80"")"),0)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IFERROR(__xludf.DUMMYFUNCTION("IMPORTRANGE(""https://docs.google.com/spreadsheets/d/1QqKyyYR6Q21VydFLVH3TRQUabQu_ym0Zz7PgGX0-kHA/edit?usp=sharing"",""แผน!F80"")"),0)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IFERROR(__xludf.DUMMYFUNCTION("IMPORTRANGE(""https://docs.google.com/spreadsheets/d/1QqKyyYR6Q21VydFLVH3TRQUabQu_ym0Zz7PgGX0-kHA/edit?usp=sharing"",""แผน!G80"")"),0)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IFERROR(__xludf.DUMMYFUNCTION("IMPORTRANGE(""https://docs.google.com/spreadsheets/d/1QqKyyYR6Q21VydFLVH3TRQUabQu_ym0Zz7PgGX0-kHA/edit?usp=sharing"",""แผน!D80"")"),0)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IFERROR(__xludf.DUMMYFUNCTION("IMPORTRANGE(""https://docs.google.com/spreadsheets/d/1QqKyyYR6Q21VydFLVH3TRQUabQu_ym0Zz7PgGX0-kHA/edit?usp=sharing"",""แผน!E80"")"),0)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IFERROR(__xludf.DUMMYFUNCTION("IMPORTRANGE(""https://docs.google.com/spreadsheets/d/1QqKyyYR6Q21VydFLVH3TRQUabQu_ym0Zz7PgGX0-kHA/edit?usp=sharing"",""แผน!J80"")"),0)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30</v>
      </c>
      <c r="J86" s="982">
        <f t="shared" si="47"/>
        <v>30</v>
      </c>
      <c r="K86" s="983">
        <f t="shared" ref="K86:K87" ca="1" si="48">IF(I86&gt;0,J86*100/I86,0)</f>
        <v>100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10</v>
      </c>
      <c r="J87" s="982">
        <f t="shared" si="47"/>
        <v>10</v>
      </c>
      <c r="K87" s="983">
        <f t="shared" ca="1" si="48"/>
        <v>100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228840</v>
      </c>
      <c r="M88" s="992">
        <f t="shared" ca="1" si="49"/>
        <v>183140</v>
      </c>
      <c r="N88" s="992">
        <f t="shared" ca="1" si="49"/>
        <v>82939.94</v>
      </c>
      <c r="O88" s="992">
        <f t="shared" ref="O88:O96" ca="1" si="50">IF(L88&gt;0,N88*100/L88,0)</f>
        <v>36.243637475965741</v>
      </c>
      <c r="P88" s="992">
        <f t="shared" ref="P88:P96" ca="1" si="51">IF(M88&gt;0,N88*100/M88,0)</f>
        <v>45.287725237523205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228840</v>
      </c>
      <c r="M90" s="887">
        <f t="shared" ca="1" si="52"/>
        <v>183140</v>
      </c>
      <c r="N90" s="887">
        <f t="shared" ca="1" si="52"/>
        <v>82939.94</v>
      </c>
      <c r="O90" s="887">
        <f t="shared" ca="1" si="50"/>
        <v>36.243637475965741</v>
      </c>
      <c r="P90" s="887">
        <f t="shared" ca="1" si="51"/>
        <v>45.287725237523205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228840</v>
      </c>
      <c r="M91" s="881">
        <f t="shared" ca="1" si="53"/>
        <v>183140</v>
      </c>
      <c r="N91" s="881">
        <f t="shared" ca="1" si="53"/>
        <v>82939.94</v>
      </c>
      <c r="O91" s="881">
        <f t="shared" ca="1" si="50"/>
        <v>36.243637475965741</v>
      </c>
      <c r="P91" s="881">
        <f t="shared" ca="1" si="51"/>
        <v>45.287725237523205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IFERROR(__xludf.DUMMYFUNCTION("IMPORTRANGE(""https://docs.google.com/spreadsheets/d/1MeEWN-I1oV_STSDYn1IFDPWt_1FKiwhDph83XaGc0o0/edit?usp=sharing"",""งบพรบ!AQ80"")"),228840)</f>
        <v>228840</v>
      </c>
      <c r="M93" s="887">
        <f ca="1">IFERROR(__xludf.DUMMYFUNCTION("IMPORTRANGE(""https://docs.google.com/spreadsheets/d/1MeEWN-I1oV_STSDYn1IFDPWt_1FKiwhDph83XaGc0o0/edit?usp=sharing"",""งบพรบ!AV80"")"),183140)</f>
        <v>183140</v>
      </c>
      <c r="N93" s="887">
        <f ca="1">IFERROR(__xludf.DUMMYFUNCTION("IMPORTRANGE(""https://docs.google.com/spreadsheets/d/1MeEWN-I1oV_STSDYn1IFDPWt_1FKiwhDph83XaGc0o0/edit?usp=sharing"",""งบพรบ!AX80"")"),82939.94)</f>
        <v>82939.94</v>
      </c>
      <c r="O93" s="887">
        <f t="shared" ca="1" si="50"/>
        <v>36.243637475965741</v>
      </c>
      <c r="P93" s="887">
        <f t="shared" ca="1" si="51"/>
        <v>45.287725237523205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IFERROR(__xludf.DUMMYFUNCTION("IMPORTRANGE(""https://docs.google.com/spreadsheets/d/1MeEWN-I1oV_STSDYn1IFDPWt_1FKiwhDph83XaGc0o0/edit?usp=sharing"",""งบพรบ!AT80"")"),0)</f>
        <v>0</v>
      </c>
      <c r="M96" s="887">
        <f ca="1">IFERROR(__xludf.DUMMYFUNCTION("IMPORTRANGE(""https://docs.google.com/spreadsheets/d/1MeEWN-I1oV_STSDYn1IFDPWt_1FKiwhDph83XaGc0o0/edit?usp=sharing"",""งบพรบ!AW80"")"),0)</f>
        <v>0</v>
      </c>
      <c r="N96" s="887">
        <f ca="1">IFERROR(__xludf.DUMMYFUNCTION("IMPORTRANGE(""https://docs.google.com/spreadsheets/d/1MeEWN-I1oV_STSDYn1IFDPWt_1FKiwhDph83XaGc0o0/edit?usp=sharing"",""งบพรบ!AY80"")"),0)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IFERROR(__xludf.DUMMYFUNCTION("IMPORTRANGE(""https://docs.google.com/spreadsheets/d/1QqKyyYR6Q21VydFLVH3TRQUabQu_ym0Zz7PgGX0-kHA/edit?usp=sharing"",""แผน!K80"")"),30)</f>
        <v>30</v>
      </c>
      <c r="J98" s="880">
        <f>J102</f>
        <v>30</v>
      </c>
      <c r="K98" s="881">
        <f t="shared" ref="K98:K100" ca="1" si="55">IF(I98&gt;0,J98*100/I98,0)</f>
        <v>100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IFERROR(__xludf.DUMMYFUNCTION("IMPORTRANGE(""https://docs.google.com/spreadsheets/d/1QqKyyYR6Q21VydFLVH3TRQUabQu_ym0Zz7PgGX0-kHA/edit?usp=sharing"",""แผน!L80"")"),10)</f>
        <v>10</v>
      </c>
      <c r="J99" s="880">
        <f>J104</f>
        <v>10</v>
      </c>
      <c r="K99" s="881">
        <f t="shared" ca="1" si="55"/>
        <v>100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IFERROR(__xludf.DUMMYFUNCTION("IMPORTRANGE(""https://docs.google.com/spreadsheets/d/1QqKyyYR6Q21VydFLVH3TRQUabQu_ym0Zz7PgGX0-kHA/edit?usp=sharing"",""แผน!M80"")"),2)</f>
        <v>2</v>
      </c>
      <c r="J100" s="880">
        <f>J107+J110</f>
        <v>0</v>
      </c>
      <c r="K100" s="881">
        <f t="shared" ca="1" si="55"/>
        <v>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IFERROR(__xludf.DUMMYFUNCTION("IMPORTRANGE(""https://docs.google.com/spreadsheets/d/1QqKyyYR6Q21VydFLVH3TRQUabQu_ym0Zz7PgGX0-kHA/edit?usp=sharing"",""แผน!N80"")"),30)</f>
        <v>30</v>
      </c>
      <c r="J102" s="1012">
        <v>30</v>
      </c>
      <c r="K102" s="881">
        <f t="shared" ref="K102:K104" ca="1" si="56">IF(I102&gt;0,J102*100/I102,0)</f>
        <v>100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IFERROR(__xludf.DUMMYFUNCTION("IMPORTRANGE(""https://docs.google.com/spreadsheets/d/1QqKyyYR6Q21VydFLVH3TRQUabQu_ym0Zz7PgGX0-kHA/edit?usp=sharing"",""แผน!O80"")"),10)</f>
        <v>10</v>
      </c>
      <c r="J103" s="1012">
        <v>10</v>
      </c>
      <c r="K103" s="881">
        <f t="shared" ca="1" si="56"/>
        <v>100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IFERROR(__xludf.DUMMYFUNCTION("IMPORTRANGE(""https://docs.google.com/spreadsheets/d/1QqKyyYR6Q21VydFLVH3TRQUabQu_ym0Zz7PgGX0-kHA/edit?usp=sharing"",""แผน!O80"")"),10)</f>
        <v>10</v>
      </c>
      <c r="J104" s="1012">
        <v>10</v>
      </c>
      <c r="K104" s="881">
        <f t="shared" ca="1" si="56"/>
        <v>100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IFERROR(__xludf.DUMMYFUNCTION("IMPORTRANGE(""https://docs.google.com/spreadsheets/d/1QqKyyYR6Q21VydFLVH3TRQUabQu_ym0Zz7PgGX0-kHA/edit?usp=sharing"",""แผน!P80"")"),1)</f>
        <v>1</v>
      </c>
      <c r="J106" s="1012">
        <v>0</v>
      </c>
      <c r="K106" s="881">
        <f t="shared" ref="K106:K107" ca="1" si="57">IF(I106&gt;0,J106*100/I106,0)</f>
        <v>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IFERROR(__xludf.DUMMYFUNCTION("IMPORTRANGE(""https://docs.google.com/spreadsheets/d/1QqKyyYR6Q21VydFLVH3TRQUabQu_ym0Zz7PgGX0-kHA/edit?usp=sharing"",""แผน!P80"")"),1)</f>
        <v>1</v>
      </c>
      <c r="J107" s="1012">
        <v>0</v>
      </c>
      <c r="K107" s="881">
        <f t="shared" ca="1" si="57"/>
        <v>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IFERROR(__xludf.DUMMYFUNCTION("IMPORTRANGE(""https://docs.google.com/spreadsheets/d/1QqKyyYR6Q21VydFLVH3TRQUabQu_ym0Zz7PgGX0-kHA/edit?usp=sharing"",""แผน!Q80"")"),1)</f>
        <v>1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IFERROR(__xludf.DUMMYFUNCTION("IMPORTRANGE(""https://docs.google.com/spreadsheets/d/1QqKyyYR6Q21VydFLVH3TRQUabQu_ym0Zz7PgGX0-kHA/edit?usp=sharing"",""แผน!Q80"")"),1)</f>
        <v>1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IFERROR(__xludf.DUMMYFUNCTION("IMPORTRANGE(""https://docs.google.com/spreadsheets/d/1QqKyyYR6Q21VydFLVH3TRQUabQu_ym0Zz7PgGX0-kHA/edit?usp=sharing"",""แผน!R80"")"),10)</f>
        <v>10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2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IFERROR(__xludf.DUMMYFUNCTION("IMPORTRANGE(""https://docs.google.com/spreadsheets/d/1QqKyyYR6Q21VydFLVH3TRQUabQu_ym0Zz7PgGX0-kHA/edit?usp=sharing"",""แผน!R80"")"),10)</f>
        <v>10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IFERROR(__xludf.DUMMYFUNCTION("IMPORTRANGE(""https://docs.google.com/spreadsheets/d/1QqKyyYR6Q21VydFLVH3TRQUabQu_ym0Zz7PgGX0-kHA/edit?usp=sharing"",""แผน!R80"")"),10)</f>
        <v>10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IFERROR(__xludf.DUMMYFUNCTION("IMPORTRANGE(""https://docs.google.com/spreadsheets/d/1QqKyyYR6Q21VydFLVH3TRQUabQu_ym0Zz7PgGX0-kHA/edit?usp=sharing"",""แผน!S80"")"),1)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IFERROR(__xludf.DUMMYFUNCTION("IMPORTRANGE(""https://docs.google.com/spreadsheets/d/1QqKyyYR6Q21VydFLVH3TRQUabQu_ym0Zz7PgGX0-kHA/edit?usp=sharing"",""แผน!T80"")"),1)</f>
        <v>1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>
        <v>0</v>
      </c>
      <c r="J118" s="1027">
        <v>0</v>
      </c>
      <c r="K118" s="984">
        <v>0</v>
      </c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IFERROR(__xludf.DUMMYFUNCTION("IMPORTRANGE(""https://docs.google.com/spreadsheets/d/1MeEWN-I1oV_STSDYn1IFDPWt_1FKiwhDph83XaGc0o0/edit?usp=sharing"",""งบพรบ!BA80"")"),0)</f>
        <v>0</v>
      </c>
      <c r="M124" s="887">
        <f ca="1">IFERROR(__xludf.DUMMYFUNCTION("IMPORTRANGE(""https://docs.google.com/spreadsheets/d/1MeEWN-I1oV_STSDYn1IFDPWt_1FKiwhDph83XaGc0o0/edit?usp=sharing"",""งบพรบ!BF80"")"),0)</f>
        <v>0</v>
      </c>
      <c r="N124" s="887">
        <f ca="1">IFERROR(__xludf.DUMMYFUNCTION("IMPORTRANGE(""https://docs.google.com/spreadsheets/d/1MeEWN-I1oV_STSDYn1IFDPWt_1FKiwhDph83XaGc0o0/edit?usp=sharing"",""งบพรบ!BH80"")"),0)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IFERROR(__xludf.DUMMYFUNCTION("IMPORTRANGE(""https://docs.google.com/spreadsheets/d/1MeEWN-I1oV_STSDYn1IFDPWt_1FKiwhDph83XaGc0o0/edit?usp=sharing"",""งบพรบ!BD80"")"),0)</f>
        <v>0</v>
      </c>
      <c r="M127" s="887">
        <f ca="1">IFERROR(__xludf.DUMMYFUNCTION("IMPORTRANGE(""https://docs.google.com/spreadsheets/d/1MeEWN-I1oV_STSDYn1IFDPWt_1FKiwhDph83XaGc0o0/edit?usp=sharing"",""งบพรบ!BG80"")"),0)</f>
        <v>0</v>
      </c>
      <c r="N127" s="887">
        <f ca="1">IFERROR(__xludf.DUMMYFUNCTION("IMPORTRANGE(""https://docs.google.com/spreadsheets/d/1MeEWN-I1oV_STSDYn1IFDPWt_1FKiwhDph83XaGc0o0/edit?usp=sharing"",""งบพรบ!BI80"")"),0)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IFERROR(__xludf.DUMMYFUNCTION("IMPORTRANGE(""https://docs.google.com/spreadsheets/d/1MeEWN-I1oV_STSDYn1IFDPWt_1FKiwhDph83XaGc0o0/edit?usp=sharing"",""งบพรบ!BK80"")"),0)</f>
        <v>0</v>
      </c>
      <c r="M137" s="887">
        <f ca="1">IFERROR(__xludf.DUMMYFUNCTION("IMPORTRANGE(""https://docs.google.com/spreadsheets/d/1MeEWN-I1oV_STSDYn1IFDPWt_1FKiwhDph83XaGc0o0/edit?usp=sharing"",""งบพรบ!BP80"")"),0)</f>
        <v>0</v>
      </c>
      <c r="N137" s="887">
        <f ca="1">IFERROR(__xludf.DUMMYFUNCTION("IMPORTRANGE(""https://docs.google.com/spreadsheets/d/1MeEWN-I1oV_STSDYn1IFDPWt_1FKiwhDph83XaGc0o0/edit?usp=sharing"",""งบพรบ!BR80"")"),0)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IFERROR(__xludf.DUMMYFUNCTION("IMPORTRANGE(""https://docs.google.com/spreadsheets/d/1MeEWN-I1oV_STSDYn1IFDPWt_1FKiwhDph83XaGc0o0/edit?usp=sharing"",""งบพรบ!BN80"")"),0)</f>
        <v>0</v>
      </c>
      <c r="M140" s="887">
        <f ca="1">IFERROR(__xludf.DUMMYFUNCTION("IMPORTRANGE(""https://docs.google.com/spreadsheets/d/1MeEWN-I1oV_STSDYn1IFDPWt_1FKiwhDph83XaGc0o0/edit?usp=sharing"",""งบพรบ!BQ80"")"),0)</f>
        <v>0</v>
      </c>
      <c r="N140" s="887">
        <f ca="1">IFERROR(__xludf.DUMMYFUNCTION("IMPORTRANGE(""https://docs.google.com/spreadsheets/d/1MeEWN-I1oV_STSDYn1IFDPWt_1FKiwhDph83XaGc0o0/edit?usp=sharing"",""งบพรบ!BS80"")"),0)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IFERROR(__xludf.DUMMYFUNCTION("IMPORTRANGE(""https://docs.google.com/spreadsheets/d/1QqKyyYR6Q21VydFLVH3TRQUabQu_ym0Zz7PgGX0-kHA/edit?usp=sharing"",""แผน!U80"")"),0)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IFERROR(__xludf.DUMMYFUNCTION("IMPORTRANGE(""https://docs.google.com/spreadsheets/d/1QqKyyYR6Q21VydFLVH3TRQUabQu_ym0Zz7PgGX0-kHA/edit?usp=sharing"",""แผน!V80"")"),0)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IFERROR(__xludf.DUMMYFUNCTION("IMPORTRANGE(""https://docs.google.com/spreadsheets/d/1QqKyyYR6Q21VydFLVH3TRQUabQu_ym0Zz7PgGX0-kHA/edit?usp=sharing"",""แผน!W80"")"),0)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IFERROR(__xludf.DUMMYFUNCTION("IMPORTRANGE(""https://docs.google.com/spreadsheets/d/1MeEWN-I1oV_STSDYn1IFDPWt_1FKiwhDph83XaGc0o0/edit?usp=sharing"",""งบพรบ!BU80"")"),0)</f>
        <v>0</v>
      </c>
      <c r="M154" s="887">
        <f ca="1">IFERROR(__xludf.DUMMYFUNCTION("IMPORTRANGE(""https://docs.google.com/spreadsheets/d/1MeEWN-I1oV_STSDYn1IFDPWt_1FKiwhDph83XaGc0o0/edit?usp=sharing"",""งบพรบ!BZ80"")"),0)</f>
        <v>0</v>
      </c>
      <c r="N154" s="887">
        <f ca="1">IFERROR(__xludf.DUMMYFUNCTION("IMPORTRANGE(""https://docs.google.com/spreadsheets/d/1MeEWN-I1oV_STSDYn1IFDPWt_1FKiwhDph83XaGc0o0/edit?usp=sharing"",""งบพรบ!CB80"")"),0)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IFERROR(__xludf.DUMMYFUNCTION("IMPORTRANGE(""https://docs.google.com/spreadsheets/d/1MeEWN-I1oV_STSDYn1IFDPWt_1FKiwhDph83XaGc0o0/edit?usp=sharing"",""งบพรบ!BX80"")"),0)</f>
        <v>0</v>
      </c>
      <c r="M157" s="887">
        <f ca="1">IFERROR(__xludf.DUMMYFUNCTION("IMPORTRANGE(""https://docs.google.com/spreadsheets/d/1MeEWN-I1oV_STSDYn1IFDPWt_1FKiwhDph83XaGc0o0/edit?usp=sharing"",""งบพรบ!CA80"")"),0)</f>
        <v>0</v>
      </c>
      <c r="N157" s="887">
        <f ca="1">IFERROR(__xludf.DUMMYFUNCTION("IMPORTRANGE(""https://docs.google.com/spreadsheets/d/1MeEWN-I1oV_STSDYn1IFDPWt_1FKiwhDph83XaGc0o0/edit?usp=sharing"",""งบพรบ!CC80"")"),0)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IFERROR(__xludf.DUMMYFUNCTION("IMPORTRANGE(""https://docs.google.com/spreadsheets/d/1QqKyyYR6Q21VydFLVH3TRQUabQu_ym0Zz7PgGX0-kHA/edit?usp=sharing"",""แผน!X80"")"),0)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10</v>
      </c>
      <c r="J164" s="1075">
        <f t="shared" si="83"/>
        <v>10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21050</v>
      </c>
      <c r="M165" s="992">
        <f t="shared" ca="1" si="84"/>
        <v>42290</v>
      </c>
      <c r="N165" s="992">
        <f t="shared" ca="1" si="84"/>
        <v>42290</v>
      </c>
      <c r="O165" s="992">
        <f t="shared" ref="O165:O173" ca="1" si="85">IF(L165&gt;0,N165*100/L165,0)</f>
        <v>200.90261282660333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21050</v>
      </c>
      <c r="M167" s="887">
        <f t="shared" ca="1" si="87"/>
        <v>42290</v>
      </c>
      <c r="N167" s="887">
        <f t="shared" ca="1" si="87"/>
        <v>42290</v>
      </c>
      <c r="O167" s="887">
        <f t="shared" ca="1" si="85"/>
        <v>200.90261282660333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21050</v>
      </c>
      <c r="M168" s="881">
        <f t="shared" ca="1" si="88"/>
        <v>42290</v>
      </c>
      <c r="N168" s="881">
        <f t="shared" ca="1" si="88"/>
        <v>42290</v>
      </c>
      <c r="O168" s="881">
        <f t="shared" ca="1" si="85"/>
        <v>200.90261282660333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IFERROR(__xludf.DUMMYFUNCTION("IMPORTRANGE(""https://docs.google.com/spreadsheets/d/1MeEWN-I1oV_STSDYn1IFDPWt_1FKiwhDph83XaGc0o0/edit?usp=sharing"",""งบพรบ!CE80"")"),21050)</f>
        <v>21050</v>
      </c>
      <c r="M170" s="887">
        <f ca="1">IFERROR(__xludf.DUMMYFUNCTION("IMPORTRANGE(""https://docs.google.com/spreadsheets/d/1MeEWN-I1oV_STSDYn1IFDPWt_1FKiwhDph83XaGc0o0/edit?usp=sharing"",""งบพรบ!CJ80"")"),42290)</f>
        <v>42290</v>
      </c>
      <c r="N170" s="887">
        <f ca="1">IFERROR(__xludf.DUMMYFUNCTION("IMPORTRANGE(""https://docs.google.com/spreadsheets/d/1MeEWN-I1oV_STSDYn1IFDPWt_1FKiwhDph83XaGc0o0/edit?usp=sharing"",""งบพรบ!CL80"")"),42290)</f>
        <v>42290</v>
      </c>
      <c r="O170" s="887">
        <f t="shared" ca="1" si="85"/>
        <v>200.90261282660333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IFERROR(__xludf.DUMMYFUNCTION("IMPORTRANGE(""https://docs.google.com/spreadsheets/d/1MeEWN-I1oV_STSDYn1IFDPWt_1FKiwhDph83XaGc0o0/edit?usp=sharing"",""งบพรบ!CH80"")"),0)</f>
        <v>0</v>
      </c>
      <c r="M173" s="887">
        <f ca="1">IFERROR(__xludf.DUMMYFUNCTION("IMPORTRANGE(""https://docs.google.com/spreadsheets/d/1MeEWN-I1oV_STSDYn1IFDPWt_1FKiwhDph83XaGc0o0/edit?usp=sharing"",""งบพรบ!CK80"")"),0)</f>
        <v>0</v>
      </c>
      <c r="N173" s="887">
        <f ca="1">IFERROR(__xludf.DUMMYFUNCTION("IMPORTRANGE(""https://docs.google.com/spreadsheets/d/1MeEWN-I1oV_STSDYn1IFDPWt_1FKiwhDph83XaGc0o0/edit?usp=sharing"",""งบพรบ!CM80"")"),0)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10</v>
      </c>
      <c r="J174" s="1067">
        <f t="shared" si="90"/>
        <v>10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IFERROR(__xludf.DUMMYFUNCTION("IMPORTRANGE(""https://docs.google.com/spreadsheets/d/1QqKyyYR6Q21VydFLVH3TRQUabQu_ym0Zz7PgGX0-kHA/edit?usp=sharing"",""แผน!Y80"")"),10)</f>
        <v>10</v>
      </c>
      <c r="J176" s="1012">
        <v>10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10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208400</v>
      </c>
      <c r="M181" s="992">
        <f t="shared" ca="1" si="92"/>
        <v>162975</v>
      </c>
      <c r="N181" s="992">
        <f t="shared" ca="1" si="92"/>
        <v>151145.79</v>
      </c>
      <c r="O181" s="992">
        <f t="shared" ref="O181:O189" ca="1" si="93">IF(L181&gt;0,N181*100/L181,0)</f>
        <v>72.526770633397319</v>
      </c>
      <c r="P181" s="992">
        <f t="shared" ref="P181:P189" ca="1" si="94">IF(M181&gt;0,N181*100/M181,0)</f>
        <v>92.741702715140363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208400</v>
      </c>
      <c r="M183" s="887">
        <f t="shared" ca="1" si="95"/>
        <v>162975</v>
      </c>
      <c r="N183" s="887">
        <f t="shared" ca="1" si="95"/>
        <v>151145.79</v>
      </c>
      <c r="O183" s="887">
        <f t="shared" ca="1" si="93"/>
        <v>72.526770633397319</v>
      </c>
      <c r="P183" s="887">
        <f t="shared" ca="1" si="94"/>
        <v>92.741702715140363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208400</v>
      </c>
      <c r="M184" s="881">
        <f t="shared" ca="1" si="96"/>
        <v>162975</v>
      </c>
      <c r="N184" s="881">
        <f t="shared" ca="1" si="96"/>
        <v>151145.79</v>
      </c>
      <c r="O184" s="881">
        <f t="shared" ca="1" si="93"/>
        <v>72.526770633397319</v>
      </c>
      <c r="P184" s="881">
        <f t="shared" ca="1" si="94"/>
        <v>92.741702715140363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IFERROR(__xludf.DUMMYFUNCTION("IMPORTRANGE(""https://docs.google.com/spreadsheets/d/1MeEWN-I1oV_STSDYn1IFDPWt_1FKiwhDph83XaGc0o0/edit?usp=sharing"",""งบพรบ!CO80"")"),208400)</f>
        <v>208400</v>
      </c>
      <c r="M186" s="887">
        <f ca="1">IFERROR(__xludf.DUMMYFUNCTION("IMPORTRANGE(""https://docs.google.com/spreadsheets/d/1MeEWN-I1oV_STSDYn1IFDPWt_1FKiwhDph83XaGc0o0/edit?usp=sharing"",""งบพรบ!CT80"")"),162975)</f>
        <v>162975</v>
      </c>
      <c r="N186" s="887">
        <f ca="1">IFERROR(__xludf.DUMMYFUNCTION("IMPORTRANGE(""https://docs.google.com/spreadsheets/d/1MeEWN-I1oV_STSDYn1IFDPWt_1FKiwhDph83XaGc0o0/edit?usp=sharing"",""งบพรบ!CV80"")"),151145.79)</f>
        <v>151145.79</v>
      </c>
      <c r="O186" s="887">
        <f t="shared" ca="1" si="93"/>
        <v>72.526770633397319</v>
      </c>
      <c r="P186" s="887">
        <f t="shared" ca="1" si="94"/>
        <v>92.741702715140363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IFERROR(__xludf.DUMMYFUNCTION("IMPORTRANGE(""https://docs.google.com/spreadsheets/d/1MeEWN-I1oV_STSDYn1IFDPWt_1FKiwhDph83XaGc0o0/edit?usp=sharing"",""งบพรบ!CR80"")"),0)</f>
        <v>0</v>
      </c>
      <c r="M189" s="887">
        <f ca="1">IFERROR(__xludf.DUMMYFUNCTION("IMPORTRANGE(""https://docs.google.com/spreadsheets/d/1MeEWN-I1oV_STSDYn1IFDPWt_1FKiwhDph83XaGc0o0/edit?usp=sharing"",""งบพรบ!CU80"")"),0)</f>
        <v>0</v>
      </c>
      <c r="N189" s="887">
        <f ca="1">IFERROR(__xludf.DUMMYFUNCTION("IMPORTRANGE(""https://docs.google.com/spreadsheets/d/1MeEWN-I1oV_STSDYn1IFDPWt_1FKiwhDph83XaGc0o0/edit?usp=sharing"",""งบพรบ!CW80"")"),0)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IFERROR(__xludf.DUMMYFUNCTION("IMPORTRANGE(""https://docs.google.com/spreadsheets/d/1QqKyyYR6Q21VydFLVH3TRQUabQu_ym0Zz7PgGX0-kHA/edit?usp=sharing"",""แผน!Z80"")"),6000)</f>
        <v>6000</v>
      </c>
      <c r="M191" s="992"/>
      <c r="N191" s="1081">
        <v>4240</v>
      </c>
      <c r="O191" s="992">
        <f ca="1">IF(L191&gt;0,N191*100/L191,0)</f>
        <v>70.666666666666671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IFERROR(__xludf.DUMMYFUNCTION("IMPORTRANGE(""https://docs.google.com/spreadsheets/d/1QqKyyYR6Q21VydFLVH3TRQUabQu_ym0Zz7PgGX0-kHA/edit?usp=sharing"",""แผน!AC80"")"),4)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103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103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2</v>
      </c>
      <c r="J197" s="1078">
        <f t="shared" si="99"/>
        <v>2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26000</v>
      </c>
      <c r="M198" s="992"/>
      <c r="N198" s="992">
        <f>N199+N200+N201+N202</f>
        <v>16240</v>
      </c>
      <c r="O198" s="992">
        <f ca="1">IF(L198&gt;0,N198*100/L198,0)</f>
        <v>62.46153846153846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IFERROR(__xludf.DUMMYFUNCTION("IMPORTRANGE(""https://docs.google.com/spreadsheets/d/1QqKyyYR6Q21VydFLVH3TRQUabQu_ym0Zz7PgGX0-kHA/edit?usp=sharing"",""แผน!AE80"")"),2000)</f>
        <v>2000</v>
      </c>
      <c r="M199" s="881"/>
      <c r="N199" s="1085">
        <v>240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IFERROR(__xludf.DUMMYFUNCTION("IMPORTRANGE(""https://docs.google.com/spreadsheets/d/1QqKyyYR6Q21VydFLVH3TRQUabQu_ym0Zz7PgGX0-kHA/edit?usp=sharing"",""แผน!AF80"")"),16000)</f>
        <v>16000</v>
      </c>
      <c r="M200" s="881"/>
      <c r="N200" s="1085">
        <v>16000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IFERROR(__xludf.DUMMYFUNCTION("IMPORTRANGE(""https://docs.google.com/spreadsheets/d/1QqKyyYR6Q21VydFLVH3TRQUabQu_ym0Zz7PgGX0-kHA/edit?usp=sharing"",""แผน!AG80"")"),8000)</f>
        <v>8000</v>
      </c>
      <c r="M201" s="881"/>
      <c r="N201" s="1085">
        <v>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IFERROR(__xludf.DUMMYFUNCTION("IMPORTRANGE(""https://docs.google.com/spreadsheets/d/1QqKyyYR6Q21VydFLVH3TRQUabQu_ym0Zz7PgGX0-kHA/edit?usp=sharing"",""แผน!AH80"")"),0)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IFERROR(__xludf.DUMMYFUNCTION("IMPORTRANGE(""https://docs.google.com/spreadsheets/d/1QqKyyYR6Q21VydFLVH3TRQUabQu_ym0Zz7PgGX0-kHA/edit?usp=sharing"",""แผน!AI80"")"),2)</f>
        <v>2</v>
      </c>
      <c r="J204" s="1012">
        <v>2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2</v>
      </c>
      <c r="J206" s="1012">
        <v>0</v>
      </c>
      <c r="K206" s="998">
        <f t="shared" ref="K206:K208" si="100">IF(I206&gt;0,J206*100/I206,0)</f>
        <v>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IFERROR(__xludf.DUMMYFUNCTION("IMPORTRANGE(""https://docs.google.com/spreadsheets/d/1QqKyyYR6Q21VydFLVH3TRQUabQu_ym0Zz7PgGX0-kHA/edit?usp=sharing"",""แผน!AK80"")"),0)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IFERROR(__xludf.DUMMYFUNCTION("IMPORTRANGE(""https://docs.google.com/spreadsheets/d/1QqKyyYR6Q21VydFLVH3TRQUabQu_ym0Zz7PgGX0-kHA/edit?usp=sharing"",""แผน!AL80"")"),0)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IFERROR(__xludf.DUMMYFUNCTION("IMPORTRANGE(""https://docs.google.com/spreadsheets/d/1QqKyyYR6Q21VydFLVH3TRQUabQu_ym0Zz7PgGX0-kHA/edit?usp=sharing"",""แผน!AM80"")"),0)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IFERROR(__xludf.DUMMYFUNCTION("IMPORTRANGE(""https://docs.google.com/spreadsheets/d/1QqKyyYR6Q21VydFLVH3TRQUabQu_ym0Zz7PgGX0-kHA/edit?usp=sharing"",""แผน!AN80"")"),0)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IFERROR(__xludf.DUMMYFUNCTION("IMPORTRANGE(""https://docs.google.com/spreadsheets/d/1QqKyyYR6Q21VydFLVH3TRQUabQu_ym0Zz7PgGX0-kHA/edit?usp=sharing"",""แผน!AN80"")"),0)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12800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17100</v>
      </c>
      <c r="M217" s="992"/>
      <c r="N217" s="992">
        <f>N218+N219+N220</f>
        <v>10240</v>
      </c>
      <c r="O217" s="992">
        <f ca="1">IF(L217&gt;0,N217*100/L217,0)</f>
        <v>59.883040935672511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IFERROR(__xludf.DUMMYFUNCTION("IMPORTRANGE(""https://docs.google.com/spreadsheets/d/1QqKyyYR6Q21VydFLVH3TRQUabQu_ym0Zz7PgGX0-kHA/edit?usp=sharing"",""แผน!AP80"")"),3000)</f>
        <v>3000</v>
      </c>
      <c r="M218" s="881"/>
      <c r="N218" s="1085">
        <v>240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IFERROR(__xludf.DUMMYFUNCTION("IMPORTRANGE(""https://docs.google.com/spreadsheets/d/1QqKyyYR6Q21VydFLVH3TRQUabQu_ym0Zz7PgGX0-kHA/edit?usp=sharing"",""แผน!AQ80"")"),4100)</f>
        <v>4100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IFERROR(__xludf.DUMMYFUNCTION("IMPORTRANGE(""https://docs.google.com/spreadsheets/d/1QqKyyYR6Q21VydFLVH3TRQUabQu_ym0Zz7PgGX0-kHA/edit?usp=sharing"",""แผน!AR80"")"),10000)</f>
        <v>10000</v>
      </c>
      <c r="M220" s="881"/>
      <c r="N220" s="1085">
        <v>10000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IFERROR(__xludf.DUMMYFUNCTION("IMPORTRANGE(""https://docs.google.com/spreadsheets/d/1QqKyyYR6Q21VydFLVH3TRQUabQu_ym0Zz7PgGX0-kHA/edit?usp=sharing"",""แผน!AT80"")"),12800)</f>
        <v>12800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IFERROR(__xludf.DUMMYFUNCTION("IMPORTRANGE(""https://docs.google.com/spreadsheets/d/1QqKyyYR6Q21VydFLVH3TRQUabQu_ym0Zz7PgGX0-kHA/edit?usp=sharing"",""แผน!AT80"")"),12800)</f>
        <v>12800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IFERROR(__xludf.DUMMYFUNCTION("IMPORTRANGE(""https://docs.google.com/spreadsheets/d/1QqKyyYR6Q21VydFLVH3TRQUabQu_ym0Zz7PgGX0-kHA/edit?usp=sharing"",""แผน!AS80"")"),10)</f>
        <v>10</v>
      </c>
      <c r="J225" s="1012">
        <v>10</v>
      </c>
      <c r="K225" s="998">
        <f t="shared" ca="1" si="104"/>
        <v>100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IFERROR(__xludf.DUMMYFUNCTION("IMPORTRANGE(""https://docs.google.com/spreadsheets/d/1QqKyyYR6Q21VydFLVH3TRQUabQu_ym0Zz7PgGX0-kHA/edit?usp=sharing"",""แผน!AV80"")"),0)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IFERROR(__xludf.DUMMYFUNCTION("IMPORTRANGE(""https://docs.google.com/spreadsheets/d/1QqKyyYR6Q21VydFLVH3TRQUabQu_ym0Zz7PgGX0-kHA/edit?usp=sharing"",""แผน!AW80"")"),0)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IFERROR(__xludf.DUMMYFUNCTION("IMPORTRANGE(""https://docs.google.com/spreadsheets/d/1QqKyyYR6Q21VydFLVH3TRQUabQu_ym0Zz7PgGX0-kHA/edit?usp=sharing"",""แผน!AX80"")"),0)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IFERROR(__xludf.DUMMYFUNCTION("IMPORTRANGE(""https://docs.google.com/spreadsheets/d/1QqKyyYR6Q21VydFLVH3TRQUabQu_ym0Zz7PgGX0-kHA/edit?usp=sharing"",""แผน!AY80"")"),0)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IFERROR(__xludf.DUMMYFUNCTION("IMPORTRANGE(""https://docs.google.com/spreadsheets/d/1QqKyyYR6Q21VydFLVH3TRQUabQu_ym0Zz7PgGX0-kHA/edit?usp=sharing"",""แผน!BE80"")"),0)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IFERROR(__xludf.DUMMYFUNCTION("IMPORTRANGE(""https://docs.google.com/spreadsheets/d/1QqKyyYR6Q21VydFLVH3TRQUabQu_ym0Zz7PgGX0-kHA/edit?usp=sharing"",""แผน!AZ80"")"),0)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IFERROR(__xludf.DUMMYFUNCTION("IMPORTRANGE(""https://docs.google.com/spreadsheets/d/1QqKyyYR6Q21VydFLVH3TRQUabQu_ym0Zz7PgGX0-kHA/edit?usp=sharing"",""แผน!BA80"")"),0)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IFERROR(__xludf.DUMMYFUNCTION("IMPORTRANGE(""https://docs.google.com/spreadsheets/d/1QqKyyYR6Q21VydFLVH3TRQUabQu_ym0Zz7PgGX0-kHA/edit?usp=sharing"",""แผน!BB80"")"),0)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IFERROR(__xludf.DUMMYFUNCTION("IMPORTRANGE(""https://docs.google.com/spreadsheets/d/1QqKyyYR6Q21VydFLVH3TRQUabQu_ym0Zz7PgGX0-kHA/edit?usp=sharing"",""แผน!BC80"")"),0)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IFERROR(__xludf.DUMMYFUNCTION("IMPORTRANGE(""https://docs.google.com/spreadsheets/d/1QqKyyYR6Q21VydFLVH3TRQUabQu_ym0Zz7PgGX0-kHA/edit?usp=sharing"",""แผน!BF80"")"),"")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20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25000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25000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25000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IFERROR(__xludf.DUMMYFUNCTION("IMPORTRANGE(""https://docs.google.com/spreadsheets/d/1MeEWN-I1oV_STSDYn1IFDPWt_1FKiwhDph83XaGc0o0/edit?usp=sharing"",""งบพรบ!CY80"")"),25000)</f>
        <v>25000</v>
      </c>
      <c r="M266" s="887">
        <f ca="1">IFERROR(__xludf.DUMMYFUNCTION("IMPORTRANGE(""https://docs.google.com/spreadsheets/d/1MeEWN-I1oV_STSDYn1IFDPWt_1FKiwhDph83XaGc0o0/edit?usp=sharing"",""งบพรบ!DD80"")"),0)</f>
        <v>0</v>
      </c>
      <c r="N266" s="887">
        <f ca="1">IFERROR(__xludf.DUMMYFUNCTION("IMPORTRANGE(""https://docs.google.com/spreadsheets/d/1MeEWN-I1oV_STSDYn1IFDPWt_1FKiwhDph83XaGc0o0/edit?usp=sharing"",""งบพรบ!DF80"")"),0)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IFERROR(__xludf.DUMMYFUNCTION("IMPORTRANGE(""https://docs.google.com/spreadsheets/d/1MeEWN-I1oV_STSDYn1IFDPWt_1FKiwhDph83XaGc0o0/edit?usp=sharing"",""งบพรบ!DB80"")"),0)</f>
        <v>0</v>
      </c>
      <c r="M269" s="887">
        <f ca="1">IFERROR(__xludf.DUMMYFUNCTION("IMPORTRANGE(""https://docs.google.com/spreadsheets/d/1MeEWN-I1oV_STSDYn1IFDPWt_1FKiwhDph83XaGc0o0/edit?usp=sharing"",""งบพรบ!DE80"")"),0)</f>
        <v>0</v>
      </c>
      <c r="N269" s="887">
        <f ca="1">IFERROR(__xludf.DUMMYFUNCTION("IMPORTRANGE(""https://docs.google.com/spreadsheets/d/1MeEWN-I1oV_STSDYn1IFDPWt_1FKiwhDph83XaGc0o0/edit?usp=sharing"",""งบพรบ!DG80"")"),0)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IFERROR(__xludf.DUMMYFUNCTION("IMPORTRANGE(""https://docs.google.com/spreadsheets/d/1QqKyyYR6Q21VydFLVH3TRQUabQu_ym0Zz7PgGX0-kHA/edit?usp=sharing"",""แผน!EA80"")"),20)</f>
        <v>20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IFERROR(__xludf.DUMMYFUNCTION("IMPORTRANGE(""https://docs.google.com/spreadsheets/d/1MeEWN-I1oV_STSDYn1IFDPWt_1FKiwhDph83XaGc0o0/edit?usp=sharing"",""งบพรบ!DI80"")"),0)</f>
        <v>0</v>
      </c>
      <c r="M282" s="887">
        <f ca="1">IFERROR(__xludf.DUMMYFUNCTION("IMPORTRANGE(""https://docs.google.com/spreadsheets/d/1MeEWN-I1oV_STSDYn1IFDPWt_1FKiwhDph83XaGc0o0/edit?usp=sharing"",""งบพรบ!DN80"")"),0)</f>
        <v>0</v>
      </c>
      <c r="N282" s="887">
        <f ca="1">IFERROR(__xludf.DUMMYFUNCTION("IMPORTRANGE(""https://docs.google.com/spreadsheets/d/1MeEWN-I1oV_STSDYn1IFDPWt_1FKiwhDph83XaGc0o0/edit?usp=sharing"",""งบพรบ!DP80"")"),0)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IFERROR(__xludf.DUMMYFUNCTION("IMPORTRANGE(""https://docs.google.com/spreadsheets/d/1MeEWN-I1oV_STSDYn1IFDPWt_1FKiwhDph83XaGc0o0/edit?usp=sharing"",""งบพรบ!DL80"")"),0)</f>
        <v>0</v>
      </c>
      <c r="M285" s="887">
        <f ca="1">IFERROR(__xludf.DUMMYFUNCTION("IMPORTRANGE(""https://docs.google.com/spreadsheets/d/1MeEWN-I1oV_STSDYn1IFDPWt_1FKiwhDph83XaGc0o0/edit?usp=sharing"",""งบพรบ!DO80"")"),0)</f>
        <v>0</v>
      </c>
      <c r="N285" s="887">
        <f ca="1">IFERROR(__xludf.DUMMYFUNCTION("IMPORTRANGE(""https://docs.google.com/spreadsheets/d/1MeEWN-I1oV_STSDYn1IFDPWt_1FKiwhDph83XaGc0o0/edit?usp=sharing"",""งบพรบ!DQ80"")"),0)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IFERROR(__xludf.DUMMYFUNCTION("IMPORTRANGE(""https://docs.google.com/spreadsheets/d/1QqKyyYR6Q21VydFLVH3TRQUabQu_ym0Zz7PgGX0-kHA/edit?usp=sharing"",""แผน!EC80"")"),0)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IFERROR(__xludf.DUMMYFUNCTION("IMPORTRANGE(""https://docs.google.com/spreadsheets/d/1QqKyyYR6Q21VydFLVH3TRQUabQu_ym0Zz7PgGX0-kHA/edit?usp=sharing"",""แผน!EB80"")"),0)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IFERROR(__xludf.DUMMYFUNCTION("IMPORTRANGE(""https://docs.google.com/spreadsheets/d/1QqKyyYR6Q21VydFLVH3TRQUabQu_ym0Zz7PgGX0-kHA/edit?usp=sharing"",""แผน!EB80"")"),0)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IFERROR(__xludf.DUMMYFUNCTION("IMPORTRANGE(""https://docs.google.com/spreadsheets/d/1QqKyyYR6Q21VydFLVH3TRQUabQu_ym0Zz7PgGX0-kHA/edit?usp=sharing"",""แผน!EB80"")"),0)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IFERROR(__xludf.DUMMYFUNCTION("IMPORTRANGE(""https://docs.google.com/spreadsheets/d/1QqKyyYR6Q21VydFLVH3TRQUabQu_ym0Zz7PgGX0-kHA/edit?usp=sharing"",""แผน!EB80"")"),0)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IFERROR(__xludf.DUMMYFUNCTION("IMPORTRANGE(""https://docs.google.com/spreadsheets/d/1QqKyyYR6Q21VydFLVH3TRQUabQu_ym0Zz7PgGX0-kHA/edit?usp=sharing"",""แผน!EB80"")"),0)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0</v>
      </c>
      <c r="J297" s="1190">
        <f t="shared" si="134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0</v>
      </c>
      <c r="M298" s="992">
        <f t="shared" ca="1" si="135"/>
        <v>0</v>
      </c>
      <c r="N298" s="992">
        <f t="shared" ca="1" si="135"/>
        <v>0</v>
      </c>
      <c r="O298" s="992">
        <f t="shared" ref="O298:O306" ca="1" si="136">IF(L298&gt;0,N298*100/L298,0)</f>
        <v>0</v>
      </c>
      <c r="P298" s="992">
        <f t="shared" ref="P298:P306" ca="1" si="137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0</v>
      </c>
      <c r="M300" s="887">
        <f t="shared" ca="1" si="138"/>
        <v>0</v>
      </c>
      <c r="N300" s="887">
        <f t="shared" ca="1" si="138"/>
        <v>0</v>
      </c>
      <c r="O300" s="887">
        <f t="shared" ca="1" si="136"/>
        <v>0</v>
      </c>
      <c r="P300" s="887">
        <f t="shared" ca="1" si="137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0</v>
      </c>
      <c r="M301" s="881">
        <f t="shared" ca="1" si="139"/>
        <v>0</v>
      </c>
      <c r="N301" s="881">
        <f t="shared" ca="1" si="139"/>
        <v>0</v>
      </c>
      <c r="O301" s="881">
        <f t="shared" ca="1" si="136"/>
        <v>0</v>
      </c>
      <c r="P301" s="881">
        <f t="shared" ca="1" si="137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IFERROR(__xludf.DUMMYFUNCTION("IMPORTRANGE(""https://docs.google.com/spreadsheets/d/1MeEWN-I1oV_STSDYn1IFDPWt_1FKiwhDph83XaGc0o0/edit?usp=sharing"",""งบพรบ!DS80"")"),0)</f>
        <v>0</v>
      </c>
      <c r="M303" s="887">
        <f ca="1">IFERROR(__xludf.DUMMYFUNCTION("IMPORTRANGE(""https://docs.google.com/spreadsheets/d/1MeEWN-I1oV_STSDYn1IFDPWt_1FKiwhDph83XaGc0o0/edit?usp=sharing"",""งบพรบ!DX80"")"),0)</f>
        <v>0</v>
      </c>
      <c r="N303" s="887">
        <f ca="1">IFERROR(__xludf.DUMMYFUNCTION("IMPORTRANGE(""https://docs.google.com/spreadsheets/d/1MeEWN-I1oV_STSDYn1IFDPWt_1FKiwhDph83XaGc0o0/edit?usp=sharing"",""งบพรบ!DZ80"")"),0)</f>
        <v>0</v>
      </c>
      <c r="O303" s="887">
        <f t="shared" ca="1" si="136"/>
        <v>0</v>
      </c>
      <c r="P303" s="887">
        <f t="shared" ca="1" si="137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IFERROR(__xludf.DUMMYFUNCTION("IMPORTRANGE(""https://docs.google.com/spreadsheets/d/1MeEWN-I1oV_STSDYn1IFDPWt_1FKiwhDph83XaGc0o0/edit?usp=sharing"",""งบพรบ!DV80"")"),0)</f>
        <v>0</v>
      </c>
      <c r="M306" s="887">
        <f ca="1">IFERROR(__xludf.DUMMYFUNCTION("IMPORTRANGE(""https://docs.google.com/spreadsheets/d/1MeEWN-I1oV_STSDYn1IFDPWt_1FKiwhDph83XaGc0o0/edit?usp=sharing"",""งบพรบ!DY80"")"),0)</f>
        <v>0</v>
      </c>
      <c r="N306" s="887">
        <f ca="1">IFERROR(__xludf.DUMMYFUNCTION("IMPORTRANGE(""https://docs.google.com/spreadsheets/d/1MeEWN-I1oV_STSDYn1IFDPWt_1FKiwhDph83XaGc0o0/edit?usp=sharing"",""งบพรบ!EA80"")"),0)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IFERROR(__xludf.DUMMYFUNCTION("IMPORTRANGE(""https://docs.google.com/spreadsheets/d/1QqKyyYR6Q21VydFLVH3TRQUabQu_ym0Zz7PgGX0-kHA/edit?usp=sharing"",""แผน!ED80"")"),0)</f>
        <v>0</v>
      </c>
      <c r="J309" s="1012">
        <v>0</v>
      </c>
      <c r="K309" s="881">
        <f t="shared" ref="K309:K312" ca="1" si="141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IFERROR(__xludf.DUMMYFUNCTION("IMPORTRANGE(""https://docs.google.com/spreadsheets/d/1QqKyyYR6Q21VydFLVH3TRQUabQu_ym0Zz7PgGX0-kHA/edit?usp=sharing"",""แผน!ED80"")"),0)</f>
        <v>0</v>
      </c>
      <c r="J310" s="1012">
        <v>0</v>
      </c>
      <c r="K310" s="881">
        <f t="shared" ca="1" si="141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IFERROR(__xludf.DUMMYFUNCTION("IMPORTRANGE(""https://docs.google.com/spreadsheets/d/1QqKyyYR6Q21VydFLVH3TRQUabQu_ym0Zz7PgGX0-kHA/edit?usp=sharing"",""แผน!ED80"")"),0)</f>
        <v>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IFERROR(__xludf.DUMMYFUNCTION("IMPORTRANGE(""https://docs.google.com/spreadsheets/d/1QqKyyYR6Q21VydFLVH3TRQUabQu_ym0Zz7PgGX0-kHA/edit?usp=sharing"",""แผน!EE80"")"),0)</f>
        <v>0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0</v>
      </c>
      <c r="J314" s="1190">
        <f t="shared" si="142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0</v>
      </c>
      <c r="M315" s="992">
        <f t="shared" ca="1" si="143"/>
        <v>0</v>
      </c>
      <c r="N315" s="992">
        <f t="shared" ca="1" si="143"/>
        <v>0</v>
      </c>
      <c r="O315" s="992">
        <f t="shared" ref="O315:O323" ca="1" si="144">IF(L315&gt;0,N315*100/L315,0)</f>
        <v>0</v>
      </c>
      <c r="P315" s="992">
        <f t="shared" ref="P315:P323" ca="1" si="145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0</v>
      </c>
      <c r="M317" s="887">
        <f t="shared" ca="1" si="146"/>
        <v>0</v>
      </c>
      <c r="N317" s="887">
        <f t="shared" ca="1" si="146"/>
        <v>0</v>
      </c>
      <c r="O317" s="887">
        <f t="shared" ca="1" si="144"/>
        <v>0</v>
      </c>
      <c r="P317" s="887">
        <f t="shared" ca="1" si="145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0</v>
      </c>
      <c r="M318" s="881">
        <f t="shared" ca="1" si="147"/>
        <v>0</v>
      </c>
      <c r="N318" s="881">
        <f t="shared" ca="1" si="147"/>
        <v>0</v>
      </c>
      <c r="O318" s="881">
        <f t="shared" ca="1" si="144"/>
        <v>0</v>
      </c>
      <c r="P318" s="881">
        <f t="shared" ca="1" si="145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IFERROR(__xludf.DUMMYFUNCTION("IMPORTRANGE(""https://docs.google.com/spreadsheets/d/1MeEWN-I1oV_STSDYn1IFDPWt_1FKiwhDph83XaGc0o0/edit?usp=sharing"",""งบพรบ!EC80"")"),0)</f>
        <v>0</v>
      </c>
      <c r="M320" s="887">
        <f ca="1">IFERROR(__xludf.DUMMYFUNCTION("IMPORTRANGE(""https://docs.google.com/spreadsheets/d/1MeEWN-I1oV_STSDYn1IFDPWt_1FKiwhDph83XaGc0o0/edit?usp=sharing"",""งบพรบ!EH80"")"),0)</f>
        <v>0</v>
      </c>
      <c r="N320" s="887">
        <f ca="1">IFERROR(__xludf.DUMMYFUNCTION("IMPORTRANGE(""https://docs.google.com/spreadsheets/d/1MeEWN-I1oV_STSDYn1IFDPWt_1FKiwhDph83XaGc0o0/edit?usp=sharing"",""งบพรบ!EJ80"")"),0)</f>
        <v>0</v>
      </c>
      <c r="O320" s="887">
        <f t="shared" ca="1" si="144"/>
        <v>0</v>
      </c>
      <c r="P320" s="887">
        <f t="shared" ca="1" si="145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IFERROR(__xludf.DUMMYFUNCTION("IMPORTRANGE(""https://docs.google.com/spreadsheets/d/1MeEWN-I1oV_STSDYn1IFDPWt_1FKiwhDph83XaGc0o0/edit?usp=sharing"",""งบพรบ!EF80"")"),0)</f>
        <v>0</v>
      </c>
      <c r="M323" s="887">
        <f ca="1">IFERROR(__xludf.DUMMYFUNCTION("IMPORTRANGE(""https://docs.google.com/spreadsheets/d/1MeEWN-I1oV_STSDYn1IFDPWt_1FKiwhDph83XaGc0o0/edit?usp=sharing"",""งบพรบ!EI80"")"),0)</f>
        <v>0</v>
      </c>
      <c r="N323" s="887">
        <f ca="1">IFERROR(__xludf.DUMMYFUNCTION("IMPORTRANGE(""https://docs.google.com/spreadsheets/d/1MeEWN-I1oV_STSDYn1IFDPWt_1FKiwhDph83XaGc0o0/edit?usp=sharing"",""งบพรบ!EK80"")"),0)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IFERROR(__xludf.DUMMYFUNCTION("IMPORTRANGE(""https://docs.google.com/spreadsheets/d/1QqKyyYR6Q21VydFLVH3TRQUabQu_ym0Zz7PgGX0-kHA/edit?usp=sharing"",""แผน!EF80"")"),0)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IFERROR(__xludf.DUMMYFUNCTION("IMPORTRANGE(""https://docs.google.com/spreadsheets/d/1QqKyyYR6Q21VydFLVH3TRQUabQu_ym0Zz7PgGX0-kHA/edit?usp=sharing"",""แผน!EG80"")"),300)</f>
        <v>300</v>
      </c>
      <c r="J327" s="1190">
        <f ca="1">J338+J341+J342+J343</f>
        <v>366</v>
      </c>
      <c r="K327" s="1191">
        <f ca="1">IF(I327&gt;0,J327*100/I327,0)</f>
        <v>122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157000</v>
      </c>
      <c r="M328" s="992">
        <f t="shared" ca="1" si="149"/>
        <v>120250</v>
      </c>
      <c r="N328" s="992">
        <f t="shared" ca="1" si="149"/>
        <v>36344</v>
      </c>
      <c r="O328" s="992">
        <f t="shared" ref="O328:O336" ca="1" si="150">IF(L328&gt;0,N328*100/L328,0)</f>
        <v>23.149044585987262</v>
      </c>
      <c r="P328" s="992">
        <f t="shared" ref="P328:P336" ca="1" si="151">IF(M328&gt;0,N328*100/M328,0)</f>
        <v>30.223700623700623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157000</v>
      </c>
      <c r="M330" s="887">
        <f t="shared" ca="1" si="152"/>
        <v>120250</v>
      </c>
      <c r="N330" s="887">
        <f t="shared" ca="1" si="152"/>
        <v>36344</v>
      </c>
      <c r="O330" s="887">
        <f t="shared" ca="1" si="150"/>
        <v>23.149044585987262</v>
      </c>
      <c r="P330" s="887">
        <f t="shared" ca="1" si="151"/>
        <v>30.223700623700623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157000</v>
      </c>
      <c r="M331" s="881">
        <f t="shared" ca="1" si="153"/>
        <v>120250</v>
      </c>
      <c r="N331" s="881">
        <f t="shared" ca="1" si="153"/>
        <v>36344</v>
      </c>
      <c r="O331" s="881">
        <f t="shared" ca="1" si="150"/>
        <v>23.149044585987262</v>
      </c>
      <c r="P331" s="881">
        <f t="shared" ca="1" si="151"/>
        <v>30.223700623700623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IFERROR(__xludf.DUMMYFUNCTION("IMPORTRANGE(""https://docs.google.com/spreadsheets/d/1MeEWN-I1oV_STSDYn1IFDPWt_1FKiwhDph83XaGc0o0/edit?usp=sharing"",""งบพรบ!EM80"")"),157000)</f>
        <v>157000</v>
      </c>
      <c r="M333" s="887">
        <f ca="1">IFERROR(__xludf.DUMMYFUNCTION("IMPORTRANGE(""https://docs.google.com/spreadsheets/d/1MeEWN-I1oV_STSDYn1IFDPWt_1FKiwhDph83XaGc0o0/edit?usp=sharing"",""งบพรบ!ER80"")"),120250)</f>
        <v>120250</v>
      </c>
      <c r="N333" s="887">
        <f ca="1">IFERROR(__xludf.DUMMYFUNCTION("IMPORTRANGE(""https://docs.google.com/spreadsheets/d/1MeEWN-I1oV_STSDYn1IFDPWt_1FKiwhDph83XaGc0o0/edit?usp=sharing"",""งบพรบ!ET80"")"),36344)</f>
        <v>36344</v>
      </c>
      <c r="O333" s="887">
        <f t="shared" ca="1" si="150"/>
        <v>23.149044585987262</v>
      </c>
      <c r="P333" s="887">
        <f t="shared" ca="1" si="151"/>
        <v>30.223700623700623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IFERROR(__xludf.DUMMYFUNCTION("IMPORTRANGE(""https://docs.google.com/spreadsheets/d/1MeEWN-I1oV_STSDYn1IFDPWt_1FKiwhDph83XaGc0o0/edit?usp=sharing"",""งบพรบ!EP80"")"),0)</f>
        <v>0</v>
      </c>
      <c r="M336" s="887">
        <f ca="1">IFERROR(__xludf.DUMMYFUNCTION("IMPORTRANGE(""https://docs.google.com/spreadsheets/d/1MeEWN-I1oV_STSDYn1IFDPWt_1FKiwhDph83XaGc0o0/edit?usp=sharing"",""งบพรบ!ES80"")"),0)</f>
        <v>0</v>
      </c>
      <c r="N336" s="887">
        <f ca="1">IFERROR(__xludf.DUMMYFUNCTION("IMPORTRANGE(""https://docs.google.com/spreadsheets/d/1MeEWN-I1oV_STSDYn1IFDPWt_1FKiwhDph83XaGc0o0/edit?usp=sharing"",""งบพรบ!EU80"")"),0)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IFERROR(__xludf.DUMMYFUNCTION("IMPORTRANGE(""https://docs.google.com/spreadsheets/d/1QqKyyYR6Q21VydFLVH3TRQUabQu_ym0Zz7PgGX0-kHA/edit?usp=sharing"",""แผน!EG80"")"),300)</f>
        <v>300</v>
      </c>
      <c r="J338" s="880">
        <f ca="1">IFERROR(__xludf.DUMMYFUNCTION("IMPORTRANGE(""https://docs.google.com/spreadsheets/d/1kVcqe37tkHyjCSG3S0O1AXqVkqjo8mSIZil3BcpIysc/edit?usp=sharing"",""ศูนย์!D80"")"),287)</f>
        <v>287</v>
      </c>
      <c r="K338" s="881">
        <f ca="1">IF(I338&gt;0,J338*100/I338,0)</f>
        <v>95.666666666666671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IFERROR(__xludf.DUMMYFUNCTION("IMPORTRANGE(""https://docs.google.com/spreadsheets/d/1QqKyyYR6Q21VydFLVH3TRQUabQu_ym0Zz7PgGX0-kHA/edit?usp=sharing"",""แผน!EH80"")"),2)</f>
        <v>2</v>
      </c>
      <c r="J340" s="880">
        <f ca="1">IFERROR(__xludf.DUMMYFUNCTION("IMPORTRANGE(""https://docs.google.com/spreadsheets/d/1kVcqe37tkHyjCSG3S0O1AXqVkqjo8mSIZil3BcpIysc/edit?usp=sharing"",""ศูนย์!E80"")"),2)</f>
        <v>2</v>
      </c>
      <c r="K340" s="881">
        <f ca="1">IF(I340&gt;0,J340*100/I340,0)</f>
        <v>100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IFERROR(__xludf.DUMMYFUNCTION("IMPORTRANGE(""https://docs.google.com/spreadsheets/d/1kVcqe37tkHyjCSG3S0O1AXqVkqjo8mSIZil3BcpIysc/edit?usp=sharing"",""ศูนย์!F80"")"),69)</f>
        <v>69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IFERROR(__xludf.DUMMYFUNCTION("IMPORTRANGE(""https://docs.google.com/spreadsheets/d/1kVcqe37tkHyjCSG3S0O1AXqVkqjo8mSIZil3BcpIysc/edit?usp=sharing"",""ศูนย์!G80"")"),0)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IFERROR(__xludf.DUMMYFUNCTION("IMPORTRANGE(""https://docs.google.com/spreadsheets/d/1kVcqe37tkHyjCSG3S0O1AXqVkqjo8mSIZil3BcpIysc/edit?usp=sharing"",""ศูนย์!H80"")"),10)</f>
        <v>10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836060</v>
      </c>
      <c r="M345" s="992">
        <f t="shared" ca="1" si="155"/>
        <v>650300</v>
      </c>
      <c r="N345" s="992">
        <f t="shared" ca="1" si="155"/>
        <v>514546.5</v>
      </c>
      <c r="O345" s="992">
        <f t="shared" ref="O345:O353" ca="1" si="156">IF(L345&gt;0,N345*100/L345,0)</f>
        <v>61.544207353539221</v>
      </c>
      <c r="P345" s="992">
        <f t="shared" ref="P345:P353" ca="1" si="157">IF(M345&gt;0,N345*100/M345,0)</f>
        <v>79.124481008765187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836060</v>
      </c>
      <c r="M347" s="887">
        <f t="shared" ca="1" si="158"/>
        <v>650300</v>
      </c>
      <c r="N347" s="887">
        <f t="shared" ca="1" si="158"/>
        <v>514546.5</v>
      </c>
      <c r="O347" s="887">
        <f t="shared" ca="1" si="156"/>
        <v>61.544207353539221</v>
      </c>
      <c r="P347" s="887">
        <f t="shared" ca="1" si="157"/>
        <v>79.124481008765187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760060</v>
      </c>
      <c r="M348" s="881">
        <f t="shared" ca="1" si="159"/>
        <v>574300</v>
      </c>
      <c r="N348" s="881">
        <f t="shared" ca="1" si="159"/>
        <v>438546.5</v>
      </c>
      <c r="O348" s="881">
        <f t="shared" ca="1" si="156"/>
        <v>57.698931663289741</v>
      </c>
      <c r="P348" s="881">
        <f t="shared" ca="1" si="157"/>
        <v>76.361918857739852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IFERROR(__xludf.DUMMYFUNCTION("IMPORTRANGE(""https://docs.google.com/spreadsheets/d/1MeEWN-I1oV_STSDYn1IFDPWt_1FKiwhDph83XaGc0o0/edit?usp=sharing"",""งบพรบ!EW80"")"),760060)</f>
        <v>760060</v>
      </c>
      <c r="M350" s="887">
        <f ca="1">IFERROR(__xludf.DUMMYFUNCTION("IMPORTRANGE(""https://docs.google.com/spreadsheets/d/1MeEWN-I1oV_STSDYn1IFDPWt_1FKiwhDph83XaGc0o0/edit?usp=sharing"",""งบพรบ!FB80"")"),574300)</f>
        <v>574300</v>
      </c>
      <c r="N350" s="887">
        <f ca="1">IFERROR(__xludf.DUMMYFUNCTION("IMPORTRANGE(""https://docs.google.com/spreadsheets/d/1MeEWN-I1oV_STSDYn1IFDPWt_1FKiwhDph83XaGc0o0/edit?usp=sharing"",""งบพรบ!FD80"")"),438546.5)</f>
        <v>438546.5</v>
      </c>
      <c r="O350" s="887">
        <f t="shared" ca="1" si="156"/>
        <v>57.698931663289741</v>
      </c>
      <c r="P350" s="887">
        <f t="shared" ca="1" si="157"/>
        <v>76.361918857739852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76000</v>
      </c>
      <c r="M351" s="881">
        <f t="shared" ca="1" si="160"/>
        <v>76000</v>
      </c>
      <c r="N351" s="881">
        <f t="shared" ca="1" si="160"/>
        <v>76000</v>
      </c>
      <c r="O351" s="881">
        <f t="shared" ca="1" si="156"/>
        <v>100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IFERROR(__xludf.DUMMYFUNCTION("IMPORTRANGE(""https://docs.google.com/spreadsheets/d/1MeEWN-I1oV_STSDYn1IFDPWt_1FKiwhDph83XaGc0o0/edit?usp=sharing"",""งบพรบ!EZ80"")"),76000)</f>
        <v>76000</v>
      </c>
      <c r="M353" s="887">
        <f ca="1">IFERROR(__xludf.DUMMYFUNCTION("IMPORTRANGE(""https://docs.google.com/spreadsheets/d/1MeEWN-I1oV_STSDYn1IFDPWt_1FKiwhDph83XaGc0o0/edit?usp=sharing"",""งบพรบ!FC80"")"),76000)</f>
        <v>76000</v>
      </c>
      <c r="N353" s="887">
        <f ca="1">IFERROR(__xludf.DUMMYFUNCTION("IMPORTRANGE(""https://docs.google.com/spreadsheets/d/1MeEWN-I1oV_STSDYn1IFDPWt_1FKiwhDph83XaGc0o0/edit?usp=sharing"",""งบพรบ!FE80"")"),76000)</f>
        <v>76000</v>
      </c>
      <c r="O353" s="887">
        <f t="shared" ca="1" si="156"/>
        <v>100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IFERROR(__xludf.DUMMYFUNCTION("IMPORTRANGE(""https://docs.google.com/spreadsheets/d/1QqKyyYR6Q21VydFLVH3TRQUabQu_ym0Zz7PgGX0-kHA/edit?usp=sharing"",""แผน!EP80"")"),84)</f>
        <v>84</v>
      </c>
      <c r="J355" s="1206">
        <f ca="1">J362</f>
        <v>56</v>
      </c>
      <c r="K355" s="1207">
        <f ca="1">IF(I355&gt;0,J355*100/I355,0)</f>
        <v>66.666666666666671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IFERROR(__xludf.DUMMYFUNCTION("IMPORTRANGE(""https://docs.google.com/spreadsheets/d/1XWAQStnk-4SwqDmLtmXYiTMKHgktTP8We1SCoS47DrQ/edit?usp=sharing"",""จัดที่ดิน!W80"")"),56)</f>
        <v>56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IFERROR(__xludf.DUMMYFUNCTION("IMPORTRANGE(""https://docs.google.com/spreadsheets/d/1QqKyyYR6Q21VydFLVH3TRQUabQu_ym0Zz7PgGX0-kHA/edit?usp=sharing"",""แผน!EO80"")"),400)</f>
        <v>400</v>
      </c>
      <c r="J359" s="880">
        <f ca="1">IFERROR(__xludf.DUMMYFUNCTION("IMPORTRANGE(""https://docs.google.com/spreadsheets/d/1XWAQStnk-4SwqDmLtmXYiTMKHgktTP8We1SCoS47DrQ/edit?usp=sharing"",""จัดที่ดิน!X80"")"),274.47)</f>
        <v>274.47000000000003</v>
      </c>
      <c r="K359" s="881">
        <f t="shared" ca="1" si="161"/>
        <v>68.617500000000007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IFERROR(__xludf.DUMMYFUNCTION("IMPORTRANGE(""https://docs.google.com/spreadsheets/d/1QqKyyYR6Q21VydFLVH3TRQUabQu_ym0Zz7PgGX0-kHA/edit?usp=sharing"",""แผน!EP80"")"),84)</f>
        <v>84</v>
      </c>
      <c r="J360" s="880">
        <f ca="1">IFERROR(__xludf.DUMMYFUNCTION("IMPORTRANGE(""https://docs.google.com/spreadsheets/d/1XWAQStnk-4SwqDmLtmXYiTMKHgktTP8We1SCoS47DrQ/edit?usp=sharing"",""จัดที่ดิน!Y80"")"),56)</f>
        <v>56</v>
      </c>
      <c r="K360" s="881">
        <f t="shared" ca="1" si="161"/>
        <v>66.666666666666671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IFERROR(__xludf.DUMMYFUNCTION("IMPORTRANGE(""https://docs.google.com/spreadsheets/d/1XWAQStnk-4SwqDmLtmXYiTMKHgktTP8We1SCoS47DrQ/edit?usp=sharing"",""จัดที่ดิน!Z80"")"),274.47)</f>
        <v>274.47000000000003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IFERROR(__xludf.DUMMYFUNCTION("IMPORTRANGE(""https://docs.google.com/spreadsheets/d/1QqKyyYR6Q21VydFLVH3TRQUabQu_ym0Zz7PgGX0-kHA/edit?usp=sharing"",""แผน!EP80"")"),84)</f>
        <v>84</v>
      </c>
      <c r="J362" s="880">
        <f ca="1">IFERROR(__xludf.DUMMYFUNCTION("IMPORTRANGE(""https://docs.google.com/spreadsheets/d/1XWAQStnk-4SwqDmLtmXYiTMKHgktTP8We1SCoS47DrQ/edit?usp=sharing"",""จัดที่ดิน!AA80"")"),56)</f>
        <v>56</v>
      </c>
      <c r="K362" s="881">
        <f t="shared" ca="1" si="161"/>
        <v>66.666666666666671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IFERROR(__xludf.DUMMYFUNCTION("IMPORTRANGE(""https://docs.google.com/spreadsheets/d/1XWAQStnk-4SwqDmLtmXYiTMKHgktTP8We1SCoS47DrQ/edit?usp=sharing"",""จัดที่ดิน!AB80"")"),274.47)</f>
        <v>274.47000000000003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134</v>
      </c>
      <c r="J364" s="1219">
        <f t="shared" ca="1" si="162"/>
        <v>85</v>
      </c>
      <c r="K364" s="1220">
        <f t="shared" ca="1" si="161"/>
        <v>63.432835820895519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IFERROR(__xludf.DUMMYFUNCTION("IMPORTRANGE(""https://docs.google.com/spreadsheets/d/1QqKyyYR6Q21VydFLVH3TRQUabQu_ym0Zz7PgGX0-kHA/edit?usp=sharing"",""แผน!EJ80"")"),30)</f>
        <v>30</v>
      </c>
      <c r="J365" s="1227">
        <f ca="1">J372</f>
        <v>40</v>
      </c>
      <c r="K365" s="1228">
        <f t="shared" ca="1" si="161"/>
        <v>133.33333333333334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IFERROR(__xludf.DUMMYFUNCTION("IMPORTRANGE(""https://docs.google.com/spreadsheets/d/1XWAQStnk-4SwqDmLtmXYiTMKHgktTP8We1SCoS47DrQ/edit?usp=sharing"",""จัดที่ดิน!E80"")"),40)</f>
        <v>40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IFERROR(__xludf.DUMMYFUNCTION("IMPORTRANGE(""https://docs.google.com/spreadsheets/d/1QqKyyYR6Q21VydFLVH3TRQUabQu_ym0Zz7PgGX0-kHA/edit?usp=sharing"",""แผน!EI80"")"),200)</f>
        <v>200</v>
      </c>
      <c r="J369" s="880">
        <f ca="1">IFERROR(__xludf.DUMMYFUNCTION("IMPORTRANGE(""https://docs.google.com/spreadsheets/d/1XWAQStnk-4SwqDmLtmXYiTMKHgktTP8We1SCoS47DrQ/edit?usp=sharing"",""จัดที่ดิน!F80"")"),201.59)</f>
        <v>201.59</v>
      </c>
      <c r="K369" s="881">
        <f t="shared" ca="1" si="163"/>
        <v>100.795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IFERROR(__xludf.DUMMYFUNCTION("IMPORTRANGE(""https://docs.google.com/spreadsheets/d/1QqKyyYR6Q21VydFLVH3TRQUabQu_ym0Zz7PgGX0-kHA/edit?usp=sharing"",""แผน!EJ80"")"),30)</f>
        <v>30</v>
      </c>
      <c r="J370" s="880">
        <f ca="1">IFERROR(__xludf.DUMMYFUNCTION("IMPORTRANGE(""https://docs.google.com/spreadsheets/d/1XWAQStnk-4SwqDmLtmXYiTMKHgktTP8We1SCoS47DrQ/edit?usp=sharing"",""จัดที่ดิน!G80"")"),40)</f>
        <v>40</v>
      </c>
      <c r="K370" s="881">
        <f t="shared" ca="1" si="163"/>
        <v>133.33333333333334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IFERROR(__xludf.DUMMYFUNCTION("IMPORTRANGE(""https://docs.google.com/spreadsheets/d/1XWAQStnk-4SwqDmLtmXYiTMKHgktTP8We1SCoS47DrQ/edit?usp=sharing"",""จัดที่ดิน!H80"")"),201.59)</f>
        <v>201.59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IFERROR(__xludf.DUMMYFUNCTION("IMPORTRANGE(""https://docs.google.com/spreadsheets/d/1QqKyyYR6Q21VydFLVH3TRQUabQu_ym0Zz7PgGX0-kHA/edit?usp=sharing"",""แผน!EJ80"")"),30)</f>
        <v>30</v>
      </c>
      <c r="J372" s="880">
        <f ca="1">IFERROR(__xludf.DUMMYFUNCTION("IMPORTRANGE(""https://docs.google.com/spreadsheets/d/1XWAQStnk-4SwqDmLtmXYiTMKHgktTP8We1SCoS47DrQ/edit?usp=sharing"",""จัดที่ดิน!I80"")"),40)</f>
        <v>40</v>
      </c>
      <c r="K372" s="881">
        <f t="shared" ca="1" si="163"/>
        <v>133.33333333333334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IFERROR(__xludf.DUMMYFUNCTION("IMPORTRANGE(""https://docs.google.com/spreadsheets/d/1XWAQStnk-4SwqDmLtmXYiTMKHgktTP8We1SCoS47DrQ/edit?usp=sharing"",""จัดที่ดิน!J80"")"),201.59)</f>
        <v>201.59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IFERROR(__xludf.DUMMYFUNCTION("IMPORTRANGE(""https://docs.google.com/spreadsheets/d/1QqKyyYR6Q21VydFLVH3TRQUabQu_ym0Zz7PgGX0-kHA/edit?usp=sharing"",""แผน!EU80"")"),104)</f>
        <v>104</v>
      </c>
      <c r="J374" s="1227">
        <f ca="1">J381</f>
        <v>45</v>
      </c>
      <c r="K374" s="1228">
        <f t="shared" ca="1" si="163"/>
        <v>43.269230769230766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IFERROR(__xludf.DUMMYFUNCTION("IMPORTRANGE(""https://docs.google.com/spreadsheets/d/1XWAQStnk-4SwqDmLtmXYiTMKHgktTP8We1SCoS47DrQ/edit?usp=sharing"",""จัดที่ดิน!AH80"")"),16)</f>
        <v>16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IFERROR(__xludf.DUMMYFUNCTION("IMPORTRANGE(""https://docs.google.com/spreadsheets/d/1QqKyyYR6Q21VydFLVH3TRQUabQu_ym0Zz7PgGX0-kHA/edit?usp=sharing"",""แผน!ET80"")"),200)</f>
        <v>200</v>
      </c>
      <c r="J378" s="880">
        <f ca="1">IFERROR(__xludf.DUMMYFUNCTION("IMPORTRANGE(""https://docs.google.com/spreadsheets/d/1XWAQStnk-4SwqDmLtmXYiTMKHgktTP8We1SCoS47DrQ/edit?usp=sharing"",""จัดที่ดิน!AI80"")"),72.88)</f>
        <v>72.88</v>
      </c>
      <c r="K378" s="881">
        <f t="shared" ca="1" si="164"/>
        <v>36.44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IFERROR(__xludf.DUMMYFUNCTION("IMPORTRANGE(""https://docs.google.com/spreadsheets/d/1QqKyyYR6Q21VydFLVH3TRQUabQu_ym0Zz7PgGX0-kHA/edit?usp=sharing"",""แผน!EU80"")"),104)</f>
        <v>104</v>
      </c>
      <c r="J379" s="880">
        <f ca="1">IFERROR(__xludf.DUMMYFUNCTION("IMPORTRANGE(""https://docs.google.com/spreadsheets/d/1XWAQStnk-4SwqDmLtmXYiTMKHgktTP8We1SCoS47DrQ/edit?usp=sharing"",""จัดที่ดิน!AJ80"")"),57)</f>
        <v>57</v>
      </c>
      <c r="K379" s="881">
        <f t="shared" ca="1" si="164"/>
        <v>54.807692307692307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IFERROR(__xludf.DUMMYFUNCTION("IMPORTRANGE(""https://docs.google.com/spreadsheets/d/1XWAQStnk-4SwqDmLtmXYiTMKHgktTP8We1SCoS47DrQ/edit?usp=sharing"",""จัดที่ดิน!AK80"")"),286.1)</f>
        <v>286.10000000000002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IFERROR(__xludf.DUMMYFUNCTION("IMPORTRANGE(""https://docs.google.com/spreadsheets/d/1QqKyyYR6Q21VydFLVH3TRQUabQu_ym0Zz7PgGX0-kHA/edit?usp=sharing"",""แผน!EU80"")"),104)</f>
        <v>104</v>
      </c>
      <c r="J381" s="880">
        <f ca="1">IFERROR(__xludf.DUMMYFUNCTION("IMPORTRANGE(""https://docs.google.com/spreadsheets/d/1XWAQStnk-4SwqDmLtmXYiTMKHgktTP8We1SCoS47DrQ/edit?usp=sharing"",""จัดที่ดิน!AL80"")"),45)</f>
        <v>45</v>
      </c>
      <c r="K381" s="881">
        <f t="shared" ca="1" si="164"/>
        <v>43.269230769230766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IFERROR(__xludf.DUMMYFUNCTION("IMPORTRANGE(""https://docs.google.com/spreadsheets/d/1XWAQStnk-4SwqDmLtmXYiTMKHgktTP8We1SCoS47DrQ/edit?usp=sharing"",""จัดที่ดิน!AM80"")"),191.31)</f>
        <v>191.31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IFERROR(__xludf.DUMMYFUNCTION("IMPORTRANGE(""https://docs.google.com/spreadsheets/d/1QqKyyYR6Q21VydFLVH3TRQUabQu_ym0Zz7PgGX0-kHA/edit?usp=sharing"",""แผน!EW80"")"),0)</f>
        <v>0</v>
      </c>
      <c r="J385" s="1138">
        <f ca="1">IFERROR(__xludf.DUMMYFUNCTION("IMPORTRANGE(""https://docs.google.com/spreadsheets/d/1XWAQStnk-4SwqDmLtmXYiTMKHgktTP8We1SCoS47DrQ/edit?usp=sharing"",""จัดที่ดิน!AP80"")"),0)</f>
        <v>0</v>
      </c>
      <c r="K385" s="1239">
        <f ca="1">IF(I385&gt;0,J385*100/I385,0)</f>
        <v>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IFERROR(__xludf.DUMMYFUNCTION("IMPORTRANGE(""https://docs.google.com/spreadsheets/d/1MeEWN-I1oV_STSDYn1IFDPWt_1FKiwhDph83XaGc0o0/edit?usp=sharing"",""งบพรบ!FG80"")"),0)</f>
        <v>0</v>
      </c>
      <c r="M394" s="887">
        <f ca="1">IFERROR(__xludf.DUMMYFUNCTION("IMPORTRANGE(""https://docs.google.com/spreadsheets/d/1MeEWN-I1oV_STSDYn1IFDPWt_1FKiwhDph83XaGc0o0/edit?usp=sharing"",""งบพรบ!FL80"")"),0)</f>
        <v>0</v>
      </c>
      <c r="N394" s="887">
        <f ca="1">IFERROR(__xludf.DUMMYFUNCTION("IMPORTRANGE(""https://docs.google.com/spreadsheets/d/1MeEWN-I1oV_STSDYn1IFDPWt_1FKiwhDph83XaGc0o0/edit?usp=sharing"",""งบพรบ!FN80"")"),0)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IFERROR(__xludf.DUMMYFUNCTION("IMPORTRANGE(""https://docs.google.com/spreadsheets/d/1MeEWN-I1oV_STSDYn1IFDPWt_1FKiwhDph83XaGc0o0/edit?usp=sharing"",""งบพรบ!FJ80"")"),0)</f>
        <v>0</v>
      </c>
      <c r="M397" s="887">
        <f ca="1">IFERROR(__xludf.DUMMYFUNCTION("IMPORTRANGE(""https://docs.google.com/spreadsheets/d/1MeEWN-I1oV_STSDYn1IFDPWt_1FKiwhDph83XaGc0o0/edit?usp=sharing"",""งบพรบ!FM80"")"),0)</f>
        <v>0</v>
      </c>
      <c r="N397" s="887">
        <f ca="1">IFERROR(__xludf.DUMMYFUNCTION("IMPORTRANGE(""https://docs.google.com/spreadsheets/d/1MeEWN-I1oV_STSDYn1IFDPWt_1FKiwhDph83XaGc0o0/edit?usp=sharing"",""งบพรบ!FO80"")"),0)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IFERROR(__xludf.DUMMYFUNCTION("IMPORTRANGE(""https://docs.google.com/spreadsheets/d/1MeEWN-I1oV_STSDYn1IFDPWt_1FKiwhDph83XaGc0o0/edit?usp=sharing"",""งบพรบ!FQ80"")"),0)</f>
        <v>0</v>
      </c>
      <c r="M407" s="887">
        <f ca="1">IFERROR(__xludf.DUMMYFUNCTION("IMPORTRANGE(""https://docs.google.com/spreadsheets/d/1MeEWN-I1oV_STSDYn1IFDPWt_1FKiwhDph83XaGc0o0/edit?usp=sharing"",""งบพรบ!FV80"")"),0)</f>
        <v>0</v>
      </c>
      <c r="N407" s="887">
        <f ca="1">IFERROR(__xludf.DUMMYFUNCTION("IMPORTRANGE(""https://docs.google.com/spreadsheets/d/1MeEWN-I1oV_STSDYn1IFDPWt_1FKiwhDph83XaGc0o0/edit?usp=sharing"",""งบพรบ!FX80"")"),0)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IFERROR(__xludf.DUMMYFUNCTION("IMPORTRANGE(""https://docs.google.com/spreadsheets/d/1MeEWN-I1oV_STSDYn1IFDPWt_1FKiwhDph83XaGc0o0/edit?usp=sharing"",""งบพรบ!FT80"")"),0)</f>
        <v>0</v>
      </c>
      <c r="M410" s="887">
        <f ca="1">IFERROR(__xludf.DUMMYFUNCTION("IMPORTRANGE(""https://docs.google.com/spreadsheets/d/1MeEWN-I1oV_STSDYn1IFDPWt_1FKiwhDph83XaGc0o0/edit?usp=sharing"",""งบพรบ!FW80"")"),0)</f>
        <v>0</v>
      </c>
      <c r="N410" s="887">
        <f ca="1">IFERROR(__xludf.DUMMYFUNCTION("IMPORTRANGE(""https://docs.google.com/spreadsheets/d/1MeEWN-I1oV_STSDYn1IFDPWt_1FKiwhDph83XaGc0o0/edit?usp=sharing"",""งบพรบ!FY80"")"),0)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584321</v>
      </c>
      <c r="M414" s="1281">
        <f t="shared" ca="1" si="181"/>
        <v>584321</v>
      </c>
      <c r="N414" s="1281">
        <f t="shared" si="181"/>
        <v>255356</v>
      </c>
      <c r="O414" s="1281">
        <f ca="1">IF(L414&gt;0,N414*100/L414,0)</f>
        <v>43.701321705021726</v>
      </c>
      <c r="P414" s="1281">
        <f ca="1">IF(M414&gt;0,N414*100/M414,0)</f>
        <v>43.701321705021726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15</v>
      </c>
      <c r="J417" s="1294">
        <f t="shared" ca="1" si="182"/>
        <v>15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66560</v>
      </c>
      <c r="M419" s="992">
        <f t="shared" ca="1" si="184"/>
        <v>66560</v>
      </c>
      <c r="N419" s="992">
        <f t="shared" si="184"/>
        <v>55050</v>
      </c>
      <c r="O419" s="992">
        <f t="shared" ref="O419:O424" ca="1" si="185">IF(L419&gt;0,N419*100/L419,0)</f>
        <v>82.707331730769226</v>
      </c>
      <c r="P419" s="992">
        <f t="shared" ref="P419:P424" ca="1" si="186">IF(M419&gt;0,N419*100/M419,0)</f>
        <v>82.707331730769226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66560</v>
      </c>
      <c r="M421" s="887">
        <f t="shared" ca="1" si="187"/>
        <v>66560</v>
      </c>
      <c r="N421" s="887">
        <f t="shared" si="187"/>
        <v>55050</v>
      </c>
      <c r="O421" s="887">
        <f t="shared" ca="1" si="185"/>
        <v>82.707331730769226</v>
      </c>
      <c r="P421" s="887">
        <f t="shared" ca="1" si="186"/>
        <v>82.707331730769226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66560</v>
      </c>
      <c r="M422" s="881">
        <f t="shared" ca="1" si="188"/>
        <v>66560</v>
      </c>
      <c r="N422" s="881">
        <f t="shared" si="188"/>
        <v>55050</v>
      </c>
      <c r="O422" s="881">
        <f t="shared" ca="1" si="185"/>
        <v>82.707331730769226</v>
      </c>
      <c r="P422" s="881">
        <f t="shared" ca="1" si="186"/>
        <v>82.707331730769226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IFERROR(__xludf.DUMMYFUNCTION("IMPORTRANGE(""https://docs.google.com/spreadsheets/d/1QqKyyYR6Q21VydFLVH3TRQUabQu_ym0Zz7PgGX0-kHA/edit?usp=sharing"",""แผน!EY80"")"),66560)</f>
        <v>66560</v>
      </c>
      <c r="M424" s="887">
        <f ca="1">L424</f>
        <v>66560</v>
      </c>
      <c r="N424" s="887">
        <f>N425+N426+N427+N428</f>
        <v>55050</v>
      </c>
      <c r="O424" s="887">
        <f t="shared" ca="1" si="185"/>
        <v>82.707331730769226</v>
      </c>
      <c r="P424" s="887">
        <f t="shared" ca="1" si="186"/>
        <v>82.707331730769226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36300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f>5400+9850+3500</f>
        <v>18750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IFERROR(__xludf.DUMMYFUNCTION("IMPORTRANGE(""https://docs.google.com/spreadsheets/d/1QqKyyYR6Q21VydFLVH3TRQUabQu_ym0Zz7PgGX0-kHA/edit?usp=sharing"",""แผน!FB80"")"),0)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15</v>
      </c>
      <c r="J433" s="1019">
        <f ca="1">IF(AND(J435=I435,J437=I437,J439=I439),I437+I439,IF(AND(J435=I437,J437=I437),I437,IF(AND(J435=I439,J439=I439),I439,0)))</f>
        <v>15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IFERROR(__xludf.DUMMYFUNCTION("IMPORTRANGE(""https://docs.google.com/spreadsheets/d/1QqKyyYR6Q21VydFLVH3TRQUabQu_ym0Zz7PgGX0-kHA/edit?usp=sharing"",""แผน!FC80"")"),15)</f>
        <v>15</v>
      </c>
      <c r="J435" s="583">
        <v>15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IFERROR(__xludf.DUMMYFUNCTION("IMPORTRANGE(""https://docs.google.com/spreadsheets/d/1QqKyyYR6Q21VydFLVH3TRQUabQu_ym0Zz7PgGX0-kHA/edit?usp=sharing"",""แผน!FD80"")"),0)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IFERROR(__xludf.DUMMYFUNCTION("IMPORTRANGE(""https://docs.google.com/spreadsheets/d/1QqKyyYR6Q21VydFLVH3TRQUabQu_ym0Zz7PgGX0-kHA/edit?usp=sharing"",""แผน!FE80"")"),0)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IFERROR(__xludf.DUMMYFUNCTION("IMPORTRANGE(""https://docs.google.com/spreadsheets/d/1QqKyyYR6Q21VydFLVH3TRQUabQu_ym0Zz7PgGX0-kHA/edit?usp=sharing"",""แผน!FF80"")"),15)</f>
        <v>15</v>
      </c>
      <c r="J439" s="583">
        <v>15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IFERROR(__xludf.DUMMYFUNCTION("IMPORTRANGE(""https://docs.google.com/spreadsheets/d/1QqKyyYR6Q21VydFLVH3TRQUabQu_ym0Zz7PgGX0-kHA/edit?usp=sharing"",""แผน!FG80"")"),1)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IFERROR(__xludf.DUMMYFUNCTION("IMPORTRANGE(""https://docs.google.com/spreadsheets/d/1QqKyyYR6Q21VydFLVH3TRQUabQu_ym0Zz7PgGX0-kHA/edit?usp=sharing"",""แผน!FH80"")"),0)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10</v>
      </c>
      <c r="J442" s="1310">
        <f t="shared" si="195"/>
        <v>10</v>
      </c>
      <c r="K442" s="1311">
        <f t="shared" ca="1" si="194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20</v>
      </c>
      <c r="J443" s="1294">
        <f t="shared" si="196"/>
        <v>20</v>
      </c>
      <c r="K443" s="1295">
        <f t="shared" ca="1" si="194"/>
        <v>100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69160</v>
      </c>
      <c r="M444" s="1020">
        <f t="shared" ca="1" si="197"/>
        <v>69160</v>
      </c>
      <c r="N444" s="1020">
        <f t="shared" si="197"/>
        <v>52700</v>
      </c>
      <c r="O444" s="1020">
        <f t="shared" ref="O444:O449" ca="1" si="198">IF(L444&gt;0,N444*100/L444,0)</f>
        <v>76.200115673799885</v>
      </c>
      <c r="P444" s="1020">
        <f t="shared" ref="P444:P449" ca="1" si="199">IF(M444&gt;0,N444*100/M444,0)</f>
        <v>76.200115673799885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69160</v>
      </c>
      <c r="M446" s="887">
        <f t="shared" ca="1" si="200"/>
        <v>69160</v>
      </c>
      <c r="N446" s="887">
        <f t="shared" si="200"/>
        <v>52700</v>
      </c>
      <c r="O446" s="887">
        <f t="shared" ca="1" si="198"/>
        <v>76.200115673799885</v>
      </c>
      <c r="P446" s="887">
        <f t="shared" ca="1" si="199"/>
        <v>76.200115673799885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69160</v>
      </c>
      <c r="M447" s="881">
        <f t="shared" ca="1" si="201"/>
        <v>69160</v>
      </c>
      <c r="N447" s="881">
        <f t="shared" si="201"/>
        <v>52700</v>
      </c>
      <c r="O447" s="881">
        <f t="shared" ca="1" si="198"/>
        <v>76.200115673799885</v>
      </c>
      <c r="P447" s="881">
        <f t="shared" ca="1" si="199"/>
        <v>76.200115673799885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IFERROR(__xludf.DUMMYFUNCTION("IMPORTRANGE(""https://docs.google.com/spreadsheets/d/1QqKyyYR6Q21VydFLVH3TRQUabQu_ym0Zz7PgGX0-kHA/edit?usp=sharing"",""แผน!FJ80"")"),69160)</f>
        <v>69160</v>
      </c>
      <c r="M449" s="887">
        <f ca="1">L449</f>
        <v>69160</v>
      </c>
      <c r="N449" s="887">
        <f>N450+N451+N452+N453</f>
        <v>52700</v>
      </c>
      <c r="O449" s="887">
        <f t="shared" ca="1" si="198"/>
        <v>76.200115673799885</v>
      </c>
      <c r="P449" s="887">
        <f t="shared" ca="1" si="199"/>
        <v>76.200115673799885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17200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26000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9500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IFERROR(__xludf.DUMMYFUNCTION("IMPORTRANGE(""https://docs.google.com/spreadsheets/d/1QqKyyYR6Q21VydFLVH3TRQUabQu_ym0Zz7PgGX0-kHA/edit?usp=sharing"",""แผน!FM80"")"),0)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IFERROR(__xludf.DUMMYFUNCTION("IMPORTRANGE(""https://docs.google.com/spreadsheets/d/1QqKyyYR6Q21VydFLVH3TRQUabQu_ym0Zz7PgGX0-kHA/edit?usp=sharing"",""แผน!FN80"")"),10)</f>
        <v>10</v>
      </c>
      <c r="J460" s="1012">
        <v>10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IFERROR(__xludf.DUMMYFUNCTION("IMPORTRANGE(""https://docs.google.com/spreadsheets/d/1QqKyyYR6Q21VydFLVH3TRQUabQu_ym0Zz7PgGX0-kHA/edit?usp=sharing"",""แผน!FO80"")"),20)</f>
        <v>20</v>
      </c>
      <c r="J462" s="1012">
        <v>20</v>
      </c>
      <c r="K462" s="881">
        <f ca="1">IF(I462&gt;0,J462*100/I462,0)</f>
        <v>100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IFERROR(__xludf.DUMMYFUNCTION("IMPORTRANGE(""https://docs.google.com/spreadsheets/d/1QqKyyYR6Q21VydFLVH3TRQUabQu_ym0Zz7PgGX0-kHA/edit?usp=sharing"",""แผน!FO80"")"),20)</f>
        <v>20</v>
      </c>
      <c r="J463" s="1012">
        <v>20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IFERROR(__xludf.DUMMYFUNCTION("IMPORTRANGE(""https://docs.google.com/spreadsheets/d/1QqKyyYR6Q21VydFLVH3TRQUabQu_ym0Zz7PgGX0-kHA/edit?usp=sharing"",""แผน!FN80"")"),10)</f>
        <v>10</v>
      </c>
      <c r="J464" s="1012">
        <v>10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IFERROR(__xludf.DUMMYFUNCTION("IMPORTRANGE(""https://docs.google.com/spreadsheets/d/1QqKyyYR6Q21VydFLVH3TRQUabQu_ym0Zz7PgGX0-kHA/edit?usp=sharing"",""แผน!FX80"")"),11)</f>
        <v>11</v>
      </c>
      <c r="J465" s="1310">
        <f>J485+J489+J492</f>
        <v>11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IFERROR(__xludf.DUMMYFUNCTION("IMPORTRANGE(""https://docs.google.com/spreadsheets/d/1QqKyyYR6Q21VydFLVH3TRQUabQu_ym0Zz7PgGX0-kHA/edit?usp=sharing"",""แผน!FW80"")"),100)</f>
        <v>100</v>
      </c>
      <c r="J466" s="1294">
        <f>J495+J498</f>
        <v>0</v>
      </c>
      <c r="K466" s="1295">
        <f t="shared" ca="1" si="205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114323</v>
      </c>
      <c r="M467" s="1020">
        <f t="shared" ca="1" si="206"/>
        <v>114323</v>
      </c>
      <c r="N467" s="1020">
        <f t="shared" si="206"/>
        <v>29633</v>
      </c>
      <c r="O467" s="1020">
        <f t="shared" ref="O467:O472" ca="1" si="207">IF(L467&gt;0,N467*100/L467,0)</f>
        <v>25.920418463476292</v>
      </c>
      <c r="P467" s="1020">
        <f t="shared" ref="P467:P472" ca="1" si="208">IF(M467&gt;0,N467*100/M467,0)</f>
        <v>25.920418463476292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114323</v>
      </c>
      <c r="M469" s="887">
        <f t="shared" ca="1" si="209"/>
        <v>114323</v>
      </c>
      <c r="N469" s="887">
        <f t="shared" si="209"/>
        <v>29633</v>
      </c>
      <c r="O469" s="887">
        <f t="shared" ca="1" si="207"/>
        <v>25.920418463476292</v>
      </c>
      <c r="P469" s="887">
        <f t="shared" ca="1" si="208"/>
        <v>25.920418463476292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114323</v>
      </c>
      <c r="M470" s="881">
        <f t="shared" ca="1" si="210"/>
        <v>114323</v>
      </c>
      <c r="N470" s="881">
        <f t="shared" si="210"/>
        <v>29633</v>
      </c>
      <c r="O470" s="881">
        <f t="shared" ca="1" si="207"/>
        <v>25.920418463476292</v>
      </c>
      <c r="P470" s="881">
        <f t="shared" ca="1" si="208"/>
        <v>25.920418463476292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IFERROR(__xludf.DUMMYFUNCTION("IMPORTRANGE(""https://docs.google.com/spreadsheets/d/1QqKyyYR6Q21VydFLVH3TRQUabQu_ym0Zz7PgGX0-kHA/edit?usp=sharing"",""แผน!FS80"")"),114323)</f>
        <v>114323</v>
      </c>
      <c r="M472" s="887">
        <f ca="1">L472</f>
        <v>114323</v>
      </c>
      <c r="N472" s="887">
        <f>N473+N474+N475+N476</f>
        <v>29633</v>
      </c>
      <c r="O472" s="887">
        <f t="shared" ca="1" si="207"/>
        <v>25.920418463476292</v>
      </c>
      <c r="P472" s="887">
        <f t="shared" ca="1" si="208"/>
        <v>25.920418463476292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26683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500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f>1400+300+750</f>
        <v>2450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IFERROR(__xludf.DUMMYFUNCTION("IMPORTRANGE(""https://docs.google.com/spreadsheets/d/1QqKyyYR6Q21VydFLVH3TRQUabQu_ym0Zz7PgGX0-kHA/edit?usp=sharing"",""แผน!FV80"")"),0)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IFERROR(__xludf.DUMMYFUNCTION("IMPORTRANGE(""https://docs.google.com/spreadsheets/d/1QqKyyYR6Q21VydFLVH3TRQUabQu_ym0Zz7PgGX0-kHA/edit?usp=sharing"",""แผน!FY80"")"),90)</f>
        <v>90</v>
      </c>
      <c r="J483" s="1012">
        <v>90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0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IFERROR(__xludf.DUMMYFUNCTION("IMPORTRANGE(""https://docs.google.com/spreadsheets/d/1QqKyyYR6Q21VydFLVH3TRQUabQu_ym0Zz7PgGX0-kHA/edit?usp=sharing"",""แผน!FZ80"")"),9)</f>
        <v>9</v>
      </c>
      <c r="J485" s="1012">
        <v>9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IFERROR(__xludf.DUMMYFUNCTION("IMPORTRANGE(""https://docs.google.com/spreadsheets/d/1QqKyyYR6Q21VydFLVH3TRQUabQu_ym0Zz7PgGX0-kHA/edit?usp=sharing"",""แผน!GA80"")"),10)</f>
        <v>10</v>
      </c>
      <c r="J487" s="1012">
        <v>10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1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IFERROR(__xludf.DUMMYFUNCTION("IMPORTRANGE(""https://docs.google.com/spreadsheets/d/1QqKyyYR6Q21VydFLVH3TRQUabQu_ym0Zz7PgGX0-kHA/edit?usp=sharing"",""แผน!GB80"")"),1)</f>
        <v>1</v>
      </c>
      <c r="J489" s="1012">
        <v>1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IFERROR(__xludf.DUMMYFUNCTION("IMPORTRANGE(""https://docs.google.com/spreadsheets/d/1QqKyyYR6Q21VydFLVH3TRQUabQu_ym0Zz7PgGX0-kHA/edit?usp=sharing"",""แผน!GC80"")"),1)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IFERROR(__xludf.DUMMYFUNCTION("IMPORTRANGE(""https://docs.google.com/spreadsheets/d/1QqKyyYR6Q21VydFLVH3TRQUabQu_ym0Zz7PgGX0-kHA/edit?usp=sharing"",""แผน!FY80"")"),90)</f>
        <v>90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IFERROR(__xludf.DUMMYFUNCTION("IMPORTRANGE(""https://docs.google.com/spreadsheets/d/1QqKyyYR6Q21VydFLVH3TRQUabQu_ym0Zz7PgGX0-kHA/edit?usp=sharing"",""แผน!GA80"")"),10)</f>
        <v>10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0</v>
      </c>
      <c r="J522" s="1377">
        <f t="shared" ca="1" si="225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0</v>
      </c>
      <c r="M523" s="1020">
        <f t="shared" si="226"/>
        <v>0</v>
      </c>
      <c r="N523" s="1020">
        <f t="shared" si="226"/>
        <v>0</v>
      </c>
      <c r="O523" s="1020">
        <f t="shared" ref="O523:O528" ca="1" si="227">IF(L523&gt;0,N523*100/L523,0)</f>
        <v>0</v>
      </c>
      <c r="P523" s="1020">
        <f t="shared" ref="P523:P528" si="228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0</v>
      </c>
      <c r="M525" s="887">
        <f t="shared" si="229"/>
        <v>0</v>
      </c>
      <c r="N525" s="887">
        <f t="shared" si="229"/>
        <v>0</v>
      </c>
      <c r="O525" s="887">
        <f t="shared" ca="1" si="227"/>
        <v>0</v>
      </c>
      <c r="P525" s="887">
        <f t="shared" si="228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0</v>
      </c>
      <c r="M526" s="881">
        <f t="shared" si="230"/>
        <v>0</v>
      </c>
      <c r="N526" s="881">
        <f t="shared" si="230"/>
        <v>0</v>
      </c>
      <c r="O526" s="881">
        <f t="shared" ca="1" si="227"/>
        <v>0</v>
      </c>
      <c r="P526" s="881">
        <f t="shared" si="228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IFERROR(__xludf.DUMMYFUNCTION("IMPORTRANGE(""https://docs.google.com/spreadsheets/d/1QqKyyYR6Q21VydFLVH3TRQUabQu_ym0Zz7PgGX0-kHA/edit?usp=sharing"",""แผน!GQ80"")"),0)</f>
        <v>0</v>
      </c>
      <c r="M528" s="887">
        <v>0</v>
      </c>
      <c r="N528" s="887">
        <f>N529+N530+N531+N532</f>
        <v>0</v>
      </c>
      <c r="O528" s="887">
        <f t="shared" ca="1" si="227"/>
        <v>0</v>
      </c>
      <c r="P528" s="887">
        <f t="shared" si="228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IFERROR(__xludf.DUMMYFUNCTION("IMPORTRANGE(""https://docs.google.com/spreadsheets/d/1QqKyyYR6Q21VydFLVH3TRQUabQu_ym0Zz7PgGX0-kHA/edit?usp=sharing"",""แผน!GT80"")"),0)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IFERROR(__xludf.DUMMYFUNCTION("IMPORTRANGE(""https://docs.google.com/spreadsheets/d/1QqKyyYR6Q21VydFLVH3TRQUabQu_ym0Zz7PgGX0-kHA/edit?usp=sharing"",""แผน!GU80"")"),0)</f>
        <v>0</v>
      </c>
      <c r="J537" s="1019">
        <f ca="1">IF(AND(J538=I538,J539=I539,J540=I540,J541=I541),I537,0)</f>
        <v>0</v>
      </c>
      <c r="K537" s="881">
        <f t="shared" ref="K537:K543" ca="1" si="234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IFERROR(__xludf.DUMMYFUNCTION("IMPORTRANGE(""https://docs.google.com/spreadsheets/d/1QqKyyYR6Q21VydFLVH3TRQUabQu_ym0Zz7PgGX0-kHA/edit?usp=sharing"",""แผน!GV80"")"),0)</f>
        <v>0</v>
      </c>
      <c r="J538" s="1012">
        <v>0</v>
      </c>
      <c r="K538" s="881">
        <f t="shared" ca="1" si="234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IFERROR(__xludf.DUMMYFUNCTION("IMPORTRANGE(""https://docs.google.com/spreadsheets/d/1QqKyyYR6Q21VydFLVH3TRQUabQu_ym0Zz7PgGX0-kHA/edit?usp=sharing"",""แผน!GW80"")"),0)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IFERROR(__xludf.DUMMYFUNCTION("IMPORTRANGE(""https://docs.google.com/spreadsheets/d/1QqKyyYR6Q21VydFLVH3TRQUabQu_ym0Zz7PgGX0-kHA/edit?usp=sharing"",""แผน!GX80"")"),0)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IFERROR(__xludf.DUMMYFUNCTION("IMPORTRANGE(""https://docs.google.com/spreadsheets/d/1QqKyyYR6Q21VydFLVH3TRQUabQu_ym0Zz7PgGX0-kHA/edit?usp=sharing"",""แผน!GY80"")"),0)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IFERROR(__xludf.DUMMYFUNCTION("IMPORTRANGE(""https://docs.google.com/spreadsheets/d/1QqKyyYR6Q21VydFLVH3TRQUabQu_ym0Zz7PgGX0-kHA/edit?usp=sharing"",""แผน!GZ80"")"),0)</f>
        <v>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6591</v>
      </c>
      <c r="J543" s="1384">
        <f t="shared" si="235"/>
        <v>0</v>
      </c>
      <c r="K543" s="1385">
        <f t="shared" ca="1" si="234"/>
        <v>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299718</v>
      </c>
      <c r="M544" s="992">
        <f t="shared" ca="1" si="236"/>
        <v>299718</v>
      </c>
      <c r="N544" s="992">
        <f t="shared" si="236"/>
        <v>110357</v>
      </c>
      <c r="O544" s="992">
        <f t="shared" ref="O544:O549" ca="1" si="237">IF(L544&gt;0,N544*100/L544,0)</f>
        <v>36.820277727730733</v>
      </c>
      <c r="P544" s="992">
        <f t="shared" ref="P544:P549" ca="1" si="238">IF(M544&gt;0,N544*100/M544,0)</f>
        <v>36.820277727730733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299718</v>
      </c>
      <c r="M546" s="887">
        <f t="shared" ca="1" si="240"/>
        <v>299718</v>
      </c>
      <c r="N546" s="887">
        <f t="shared" si="240"/>
        <v>110357</v>
      </c>
      <c r="O546" s="887">
        <f t="shared" ca="1" si="237"/>
        <v>36.820277727730733</v>
      </c>
      <c r="P546" s="887">
        <f t="shared" ca="1" si="238"/>
        <v>36.820277727730733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299718</v>
      </c>
      <c r="M547" s="881">
        <f t="shared" ca="1" si="241"/>
        <v>299718</v>
      </c>
      <c r="N547" s="881">
        <f t="shared" si="241"/>
        <v>110357</v>
      </c>
      <c r="O547" s="881">
        <f t="shared" ca="1" si="237"/>
        <v>36.820277727730733</v>
      </c>
      <c r="P547" s="881">
        <f t="shared" ca="1" si="238"/>
        <v>36.820277727730733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IFERROR(__xludf.DUMMYFUNCTION("IMPORTRANGE(""https://docs.google.com/spreadsheets/d/1QqKyyYR6Q21VydFLVH3TRQUabQu_ym0Zz7PgGX0-kHA/edit?usp=sharing"",""แผน!HB80"")"),299718)</f>
        <v>299718</v>
      </c>
      <c r="M549" s="887">
        <f ca="1">L549</f>
        <v>299718</v>
      </c>
      <c r="N549" s="887">
        <f>N550+N551+N552+N553+N554</f>
        <v>110357</v>
      </c>
      <c r="O549" s="887">
        <f t="shared" ca="1" si="237"/>
        <v>36.820277727730733</v>
      </c>
      <c r="P549" s="887">
        <f t="shared" ca="1" si="238"/>
        <v>36.820277727730733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65000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v>45357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IFERROR(__xludf.DUMMYFUNCTION("IMPORTRANGE(""https://docs.google.com/spreadsheets/d/1QqKyyYR6Q21VydFLVH3TRQUabQu_ym0Zz7PgGX0-kHA/edit?usp=sharing"",""แผน!HF80"")"),0)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6591</v>
      </c>
      <c r="J559" s="1377">
        <f t="shared" si="245"/>
        <v>0</v>
      </c>
      <c r="K559" s="1378">
        <f t="shared" ref="K559:K561" ca="1" si="246">IF(I559&gt;0,J559*100/I559,0)</f>
        <v>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IFERROR(__xludf.DUMMYFUNCTION("IMPORTRANGE(""https://docs.google.com/spreadsheets/d/1QqKyyYR6Q21VydFLVH3TRQUabQu_ym0Zz7PgGX0-kHA/edit?usp=sharing"",""แผน!HH80"")"),6591)</f>
        <v>6591</v>
      </c>
      <c r="J560" s="1018">
        <f t="shared" ref="J560:J561" si="247">J562+J564+J566</f>
        <v>5490.8</v>
      </c>
      <c r="K560" s="1162">
        <f t="shared" ca="1" si="246"/>
        <v>83.307540585647089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IFERROR(__xludf.DUMMYFUNCTION("IMPORTRANGE(""https://docs.google.com/spreadsheets/d/1QqKyyYR6Q21VydFLVH3TRQUabQu_ym0Zz7PgGX0-kHA/edit?usp=sharing"",""แผน!HG80"")"),1075)</f>
        <v>1075</v>
      </c>
      <c r="J561" s="1018">
        <f t="shared" si="247"/>
        <v>920</v>
      </c>
      <c r="K561" s="1162">
        <f t="shared" ca="1" si="246"/>
        <v>85.581395348837205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4171.7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716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968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143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351.1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61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IFERROR(__xludf.DUMMYFUNCTION("IMPORTRANGE(""https://docs.google.com/spreadsheets/d/1QqKyyYR6Q21VydFLVH3TRQUabQu_ym0Zz7PgGX0-kHA/edit?usp=sharing"",""แผน!HH80"")"),6591)</f>
        <v>6591</v>
      </c>
      <c r="J568" s="1019">
        <f t="shared" ref="J568:J569" si="248">J570+J572+J574</f>
        <v>0</v>
      </c>
      <c r="K568" s="1162">
        <f t="shared" ref="K568:K569" ca="1" si="249">IF(I568&gt;0,J568*100/I568,0)</f>
        <v>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IFERROR(__xludf.DUMMYFUNCTION("IMPORTRANGE(""https://docs.google.com/spreadsheets/d/1QqKyyYR6Q21VydFLVH3TRQUabQu_ym0Zz7PgGX0-kHA/edit?usp=sharing"",""แผน!HG80"")"),1075)</f>
        <v>1075</v>
      </c>
      <c r="J569" s="1019">
        <f t="shared" si="248"/>
        <v>0</v>
      </c>
      <c r="K569" s="1162">
        <f t="shared" ca="1" si="249"/>
        <v>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0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0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0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0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0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0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IFERROR(__xludf.DUMMYFUNCTION("IMPORTRANGE(""https://docs.google.com/spreadsheets/d/1QqKyyYR6Q21VydFLVH3TRQUabQu_ym0Zz7PgGX0-kHA/edit?usp=sharing"",""แผน!HH80"")"),6591)</f>
        <v>6591</v>
      </c>
      <c r="J576" s="1019">
        <f t="shared" ref="J576:J577" si="250">J578+J580+J582+J588+J590</f>
        <v>0</v>
      </c>
      <c r="K576" s="1162">
        <f t="shared" ref="K576:K577" ca="1" si="251">IF(I576&gt;0,J576*100/I576,0)</f>
        <v>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IFERROR(__xludf.DUMMYFUNCTION("IMPORTRANGE(""https://docs.google.com/spreadsheets/d/1QqKyyYR6Q21VydFLVH3TRQUabQu_ym0Zz7PgGX0-kHA/edit?usp=sharing"",""แผน!HG80"")"),1075)</f>
        <v>1075</v>
      </c>
      <c r="J577" s="1019">
        <f t="shared" si="250"/>
        <v>0</v>
      </c>
      <c r="K577" s="1162">
        <f t="shared" ca="1" si="251"/>
        <v>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0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0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0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0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0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0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1539.76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IFERROR(__xludf.DUMMYFUNCTION("IMPORTRANGE(""https://docs.google.com/spreadsheets/d/1QqKyyYR6Q21VydFLVH3TRQUabQu_ym0Zz7PgGX0-kHA/edit?usp=sharing"",""แผน!HJ80"")"),1539.76)</f>
        <v>1539.76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IFERROR(__xludf.DUMMYFUNCTION("IMPORTRANGE(""https://docs.google.com/spreadsheets/d/1QqKyyYR6Q21VydFLVH3TRQUabQu_ym0Zz7PgGX0-kHA/edit?usp=sharing"",""แผน!HI80"")"),224)</f>
        <v>224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IFERROR(__xludf.DUMMYFUNCTION("IMPORTRANGE(""https://docs.google.com/spreadsheets/d/1QqKyyYR6Q21VydFLVH3TRQUabQu_ym0Zz7PgGX0-kHA/edit?usp=sharing"",""แผน!HL80"")"),0)</f>
        <v>0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IFERROR(__xludf.DUMMYFUNCTION("IMPORTRANGE(""https://docs.google.com/spreadsheets/d/1QqKyyYR6Q21VydFLVH3TRQUabQu_ym0Zz7PgGX0-kHA/edit?usp=sharing"",""แผน!HK80"")"),0)</f>
        <v>0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 hidden="1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 hidden="1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0</v>
      </c>
      <c r="M629" s="1020">
        <f t="shared" si="263"/>
        <v>0</v>
      </c>
      <c r="N629" s="1020">
        <f t="shared" si="263"/>
        <v>0</v>
      </c>
      <c r="O629" s="1020">
        <f t="shared" ref="O629:O634" ca="1" si="264">IF(L629&gt;0,N629*100/L629,0)</f>
        <v>0</v>
      </c>
      <c r="P629" s="1020">
        <f t="shared" ref="P629:P634" si="265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0</v>
      </c>
      <c r="M631" s="887">
        <f t="shared" si="266"/>
        <v>0</v>
      </c>
      <c r="N631" s="887">
        <f t="shared" si="266"/>
        <v>0</v>
      </c>
      <c r="O631" s="887">
        <f t="shared" ca="1" si="264"/>
        <v>0</v>
      </c>
      <c r="P631" s="887">
        <f t="shared" si="265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 hidden="1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0</v>
      </c>
      <c r="M632" s="881">
        <f t="shared" si="267"/>
        <v>0</v>
      </c>
      <c r="N632" s="881">
        <f t="shared" si="267"/>
        <v>0</v>
      </c>
      <c r="O632" s="881">
        <f t="shared" ca="1" si="264"/>
        <v>0</v>
      </c>
      <c r="P632" s="881">
        <f t="shared" si="265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IFERROR(__xludf.DUMMYFUNCTION("IMPORTRANGE(""https://docs.google.com/spreadsheets/d/1QqKyyYR6Q21VydFLVH3TRQUabQu_ym0Zz7PgGX0-kHA/edit?usp=sharing"",""แผน!HN80"")"),0)</f>
        <v>0</v>
      </c>
      <c r="M634" s="887">
        <v>0</v>
      </c>
      <c r="N634" s="887">
        <f>N635+N636+N637+N638</f>
        <v>0</v>
      </c>
      <c r="O634" s="887">
        <f t="shared" ca="1" si="264"/>
        <v>0</v>
      </c>
      <c r="P634" s="887">
        <f t="shared" si="265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 hidden="1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 hidden="1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 hidden="1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 hidden="1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 hidden="1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IFERROR(__xludf.DUMMYFUNCTION("IMPORTRANGE(""https://docs.google.com/spreadsheets/d/1QqKyyYR6Q21VydFLVH3TRQUabQu_ym0Zz7PgGX0-kHA/edit?usp=sharing"",""แผน!HQ80"")"),0)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 hidden="1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 hidden="1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IFERROR(__xludf.DUMMYFUNCTION("IMPORTRANGE(""https://docs.google.com/spreadsheets/d/1QqKyyYR6Q21VydFLVH3TRQUabQu_ym0Zz7PgGX0-kHA/edit?usp=sharing"",""แผน!HR80"")"),0)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 hidden="1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IFERROR(__xludf.DUMMYFUNCTION("IMPORTRANGE(""https://docs.google.com/spreadsheets/d/1QqKyyYR6Q21VydFLVH3TRQUabQu_ym0Zz7PgGX0-kHA/edit?usp=sharing"",""แผน!HR80"")"),0)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 hidden="1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IFERROR(__xludf.DUMMYFUNCTION("IMPORTRANGE(""https://docs.google.com/spreadsheets/d/1XWAQStnk-4SwqDmLtmXYiTMKHgktTP8We1SCoS47DrQ/edit?usp=sharing"",""จัดที่ดิน!AS80"")"),0)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 hidden="1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IFERROR(__xludf.DUMMYFUNCTION("IMPORTRANGE(""https://docs.google.com/spreadsheets/d/1XWAQStnk-4SwqDmLtmXYiTMKHgktTP8We1SCoS47DrQ/edit?usp=sharing"",""จัดที่ดิน!AT80"")"),0)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 hidden="1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IFERROR(__xludf.DUMMYFUNCTION("IMPORTRANGE(""https://docs.google.com/spreadsheets/d/1QqKyyYR6Q21VydFLVH3TRQUabQu_ym0Zz7PgGX0-kHA/edit?usp=sharing"",""แผน!HS80"")"),0)</f>
        <v>0</v>
      </c>
      <c r="J647" s="880">
        <f ca="1">IFERROR(__xludf.DUMMYFUNCTION("IMPORTRANGE(""https://docs.google.com/spreadsheets/d/1XWAQStnk-4SwqDmLtmXYiTMKHgktTP8We1SCoS47DrQ/edit?usp=sharing"",""จัดที่ดิน!AU80"")"),0)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 hidden="1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IFERROR(__xludf.DUMMYFUNCTION("IMPORTRANGE(""https://docs.google.com/spreadsheets/d/1XWAQStnk-4SwqDmLtmXYiTMKHgktTP8We1SCoS47DrQ/edit?usp=sharing"",""จัดที่ดิน!AV80"")"),0)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 hidden="1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IFERROR(__xludf.DUMMYFUNCTION("IMPORTRANGE(""https://docs.google.com/spreadsheets/d/1QqKyyYR6Q21VydFLVH3TRQUabQu_ym0Zz7PgGX0-kHA/edit?usp=sharing"",""แผน!HS80"")"),0)</f>
        <v>0</v>
      </c>
      <c r="J649" s="880">
        <f ca="1">IFERROR(__xludf.DUMMYFUNCTION("IMPORTRANGE(""https://docs.google.com/spreadsheets/d/1XWAQStnk-4SwqDmLtmXYiTMKHgktTP8We1SCoS47DrQ/edit?usp=sharing"",""จัดที่ดิน!AW80"")"),0)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 hidden="1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IFERROR(__xludf.DUMMYFUNCTION("IMPORTRANGE(""https://docs.google.com/spreadsheets/d/1XWAQStnk-4SwqDmLtmXYiTMKHgktTP8We1SCoS47DrQ/edit?usp=sharing"",""จัดที่ดิน!AX80"")"),0)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 hidden="1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IFERROR(__xludf.DUMMYFUNCTION("IMPORTRANGE(""https://docs.google.com/spreadsheets/d/1QqKyyYR6Q21VydFLVH3TRQUabQu_ym0Zz7PgGX0-kHA/edit?usp=sharing"",""แผน!HS80"")"),0)</f>
        <v>0</v>
      </c>
      <c r="J651" s="880">
        <f ca="1">IFERROR(__xludf.DUMMYFUNCTION("IMPORTRANGE(""https://docs.google.com/spreadsheets/d/1XWAQStnk-4SwqDmLtmXYiTMKHgktTP8We1SCoS47DrQ/edit?usp=sharing"",""จัดที่ดิน!AY80"")"),0)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 hidden="1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IFERROR(__xludf.DUMMYFUNCTION("IMPORTRANGE(""https://docs.google.com/spreadsheets/d/1XWAQStnk-4SwqDmLtmXYiTMKHgktTP8We1SCoS47DrQ/edit?usp=sharing"",""จัดที่ดิน!AZ80"")"),0)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50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11000</v>
      </c>
      <c r="M655" s="1020">
        <f t="shared" ca="1" si="273"/>
        <v>11000</v>
      </c>
      <c r="N655" s="1020">
        <f t="shared" si="273"/>
        <v>6616</v>
      </c>
      <c r="O655" s="1020">
        <f t="shared" ref="O655:O660" ca="1" si="274">IF(L655&gt;0,N655*100/L655,0)</f>
        <v>60.145454545454548</v>
      </c>
      <c r="P655" s="1020">
        <f t="shared" ref="P655:P660" ca="1" si="275">IF(M655&gt;0,N655*100/M655,0)</f>
        <v>60.145454545454548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11000</v>
      </c>
      <c r="M657" s="887">
        <f t="shared" ca="1" si="276"/>
        <v>11000</v>
      </c>
      <c r="N657" s="887">
        <f t="shared" si="276"/>
        <v>6616</v>
      </c>
      <c r="O657" s="887">
        <f t="shared" ca="1" si="274"/>
        <v>60.145454545454548</v>
      </c>
      <c r="P657" s="887">
        <f t="shared" ca="1" si="275"/>
        <v>60.145454545454548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11000</v>
      </c>
      <c r="M658" s="881">
        <f t="shared" ca="1" si="277"/>
        <v>11000</v>
      </c>
      <c r="N658" s="881">
        <f t="shared" si="277"/>
        <v>6616</v>
      </c>
      <c r="O658" s="881">
        <f t="shared" ca="1" si="274"/>
        <v>60.145454545454548</v>
      </c>
      <c r="P658" s="881">
        <f t="shared" ca="1" si="275"/>
        <v>60.145454545454548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IFERROR(__xludf.DUMMYFUNCTION("IMPORTRANGE(""https://docs.google.com/spreadsheets/d/1QqKyyYR6Q21VydFLVH3TRQUabQu_ym0Zz7PgGX0-kHA/edit?usp=sharing"",""แผน!HV80"")"),11000)</f>
        <v>11000</v>
      </c>
      <c r="M660" s="887">
        <f ca="1">L660</f>
        <v>11000</v>
      </c>
      <c r="N660" s="887">
        <f>N661+N662+N663+N664</f>
        <v>6616</v>
      </c>
      <c r="O660" s="887">
        <f t="shared" ca="1" si="274"/>
        <v>60.145454545454548</v>
      </c>
      <c r="P660" s="887">
        <f t="shared" ca="1" si="275"/>
        <v>60.145454545454548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6616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IFERROR(__xludf.DUMMYFUNCTION("IMPORTRANGE(""https://docs.google.com/spreadsheets/d/1QqKyyYR6Q21VydFLVH3TRQUabQu_ym0Zz7PgGX0-kHA/edit?usp=sharing"",""แผน!IA80"")"),50)</f>
        <v>50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IFERROR(__xludf.DUMMYFUNCTION("IMPORTRANGE(""https://docs.google.com/spreadsheets/d/1QqKyyYR6Q21VydFLVH3TRQUabQu_ym0Zz7PgGX0-kHA/edit?usp=sharing"",""แผน!HZ80"")"),5)</f>
        <v>5</v>
      </c>
      <c r="J670" s="1012">
        <v>5</v>
      </c>
      <c r="K670" s="881">
        <f ca="1">IF(I670&gt;0,(J670*100)/I670,0)</f>
        <v>100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IFERROR(__xludf.DUMMYFUNCTION("IMPORTRANGE(""https://docs.google.com/spreadsheets/d/1QqKyyYR6Q21VydFLVH3TRQUabQu_ym0Zz7PgGX0-kHA/edit?usp=sharing"",""แผน!HZ80"")"),5)</f>
        <v>5</v>
      </c>
      <c r="J671" s="1012">
        <v>5</v>
      </c>
      <c r="K671" s="881">
        <f ca="1">IF(I$671&gt;0,J671*100/I$671,0)</f>
        <v>100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IFERROR(__xludf.DUMMYFUNCTION("IMPORTRANGE(""https://docs.google.com/spreadsheets/d/1QqKyyYR6Q21VydFLVH3TRQUabQu_ym0Zz7PgGX0-kHA/edit?usp=sharing"",""แผน!IB80"")"),0)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23560</v>
      </c>
      <c r="M685" s="1020">
        <f t="shared" ca="1" si="282"/>
        <v>23560</v>
      </c>
      <c r="N685" s="1020">
        <f t="shared" si="282"/>
        <v>1000</v>
      </c>
      <c r="O685" s="1020">
        <f t="shared" ref="O685:O688" ca="1" si="283">IF(L685&gt;0,N685*100/L685,0)</f>
        <v>4.2444821731748723</v>
      </c>
      <c r="P685" s="1020">
        <f t="shared" ref="P685:P688" ca="1" si="284">IF(M685&gt;0,N685*100/M685,0)</f>
        <v>4.2444821731748723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23560</v>
      </c>
      <c r="M687" s="887">
        <f t="shared" ca="1" si="285"/>
        <v>23560</v>
      </c>
      <c r="N687" s="887">
        <f t="shared" si="285"/>
        <v>1000</v>
      </c>
      <c r="O687" s="887">
        <f t="shared" ca="1" si="283"/>
        <v>4.2444821731748723</v>
      </c>
      <c r="P687" s="887">
        <f t="shared" ca="1" si="284"/>
        <v>4.2444821731748723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23560</v>
      </c>
      <c r="M688" s="881">
        <f t="shared" ca="1" si="286"/>
        <v>23560</v>
      </c>
      <c r="N688" s="881">
        <f t="shared" si="286"/>
        <v>1000</v>
      </c>
      <c r="O688" s="881">
        <f t="shared" ca="1" si="283"/>
        <v>4.2444821731748723</v>
      </c>
      <c r="P688" s="881">
        <f t="shared" ca="1" si="284"/>
        <v>4.2444821731748723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IFERROR(__xludf.DUMMYFUNCTION("IMPORTRANGE(""https://docs.google.com/spreadsheets/d/1QqKyyYR6Q21VydFLVH3TRQUabQu_ym0Zz7PgGX0-kHA/edit?usp=sharing"",""แผน!HW80"")"),23560)</f>
        <v>23560</v>
      </c>
      <c r="M690" s="887">
        <f ca="1">L690</f>
        <v>23560</v>
      </c>
      <c r="N690" s="887">
        <f>N691+N692+N693+N694</f>
        <v>1000</v>
      </c>
      <c r="O690" s="887">
        <f ca="1">IF(L690&gt;0,N690*100/L690,0)</f>
        <v>4.2444821731748723</v>
      </c>
      <c r="P690" s="887">
        <f ca="1">IF(M690&gt;0,N690*100/M690,0)</f>
        <v>4.2444821731748723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1000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IFERROR(__xludf.DUMMYFUNCTION("IMPORTRANGE(""https://docs.google.com/spreadsheets/d/1QqKyyYR6Q21VydFLVH3TRQUabQu_ym0Zz7PgGX0-kHA/edit?usp=sharing"",""แผน!IC80"")"),0)</f>
        <v>0</v>
      </c>
      <c r="J699" s="880">
        <f ca="1">IFERROR(__xludf.DUMMYFUNCTION("IMPORTRANGE(""https://docs.google.com/spreadsheets/d/1XWAQStnk-4SwqDmLtmXYiTMKHgktTP8We1SCoS47DrQ/edit?usp=sharing"",""จัดที่ดิน!BB80"")"),0)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IFERROR(__xludf.DUMMYFUNCTION("IMPORTRANGE(""https://docs.google.com/spreadsheets/d/1QqKyyYR6Q21VydFLVH3TRQUabQu_ym0Zz7PgGX0-kHA/edit?usp=sharing"",""แผน!ID80"")"),1)</f>
        <v>1</v>
      </c>
      <c r="J700" s="880">
        <f ca="1">IFERROR(__xludf.DUMMYFUNCTION("IMPORTRANGE(""https://docs.google.com/spreadsheets/d/1XWAQStnk-4SwqDmLtmXYiTMKHgktTP8We1SCoS47DrQ/edit?usp=sharing"",""จัดที่ดิน!BD80"")"),0)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IFERROR(__xludf.DUMMYFUNCTION("IMPORTRANGE(""https://docs.google.com/spreadsheets/d/1QqKyyYR6Q21VydFLVH3TRQUabQu_ym0Zz7PgGX0-kHA/edit?usp=sharing"",""แผน!IE80"")"),0)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IFERROR(__xludf.DUMMYFUNCTION("IMPORTRANGE(""https://docs.google.com/spreadsheets/d/1QqKyyYR6Q21VydFLVH3TRQUabQu_ym0Zz7PgGX0-kHA/edit?usp=sharing"",""แผน!IF80"")"),0)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IFERROR(__xludf.DUMMYFUNCTION("IMPORTRANGE(""https://docs.google.com/spreadsheets/d/1QqKyyYR6Q21VydFLVH3TRQUabQu_ym0Zz7PgGX0-kHA/edit?usp=sharing"",""แผน!IG80"")"),0)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IFERROR(__xludf.DUMMYFUNCTION("IMPORTRANGE(""https://docs.google.com/spreadsheets/d/1QqKyyYR6Q21VydFLVH3TRQUabQu_ym0Zz7PgGX0-kHA/edit?usp=sharing"",""แผน!IH80"")"),0)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IFERROR(__xludf.DUMMYFUNCTION("IMPORTRANGE(""https://docs.google.com/spreadsheets/d/1XWAQStnk-4SwqDmLtmXYiTMKHgktTP8We1SCoS47DrQ/edit?usp=sharing"",""จัดที่ดิน!BF80"")"),0)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IFERROR(__xludf.DUMMYFUNCTION("IMPORTRANGE(""https://docs.google.com/spreadsheets/d/1XWAQStnk-4SwqDmLtmXYiTMKHgktTP8We1SCoS47DrQ/edit?usp=sharing"",""จัดที่ดิน!BG80"")"),0)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IFERROR(__xludf.DUMMYFUNCTION("IMPORTRANGE(""https://docs.google.com/spreadsheets/d/1QqKyyYR6Q21VydFLVH3TRQUabQu_ym0Zz7PgGX0-kHA/edit?usp=sharing"",""แผน!II80"")"),0)</f>
        <v>0</v>
      </c>
      <c r="J720" s="880">
        <f ca="1">IFERROR(__xludf.DUMMYFUNCTION("IMPORTRANGE(""https://docs.google.com/spreadsheets/d/1XWAQStnk-4SwqDmLtmXYiTMKHgktTP8We1SCoS47DrQ/edit?usp=sharing"",""จัดที่ดิน!BH80"")"),0)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IFERROR(__xludf.DUMMYFUNCTION("IMPORTRANGE(""https://docs.google.com/spreadsheets/d/1QqKyyYR6Q21VydFLVH3TRQUabQu_ym0Zz7PgGX0-kHA/edit?usp=sharing"",""แผน!IJ80"")"),87)</f>
        <v>87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IFERROR(__xludf.DUMMYFUNCTION("IMPORTRANGE(""https://docs.google.com/spreadsheets/d/1QqKyyYR6Q21VydFLVH3TRQUabQu_ym0Zz7PgGX0-kHA/edit?usp=sharing"",""แผน!IK80"")"),332)</f>
        <v>332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IFERROR(__xludf.DUMMYFUNCTION("IMPORTRANGE(""https://docs.google.com/spreadsheets/d/1QqKyyYR6Q21VydFLVH3TRQUabQu_ym0Zz7PgGX0-kHA/edit?usp=sharing"",""แผน!IL80"")"),50)</f>
        <v>50</v>
      </c>
      <c r="J723" s="880">
        <f ca="1">IFERROR(__xludf.DUMMYFUNCTION("IMPORTRANGE(""https://docs.google.com/spreadsheets/d/1XWAQStnk-4SwqDmLtmXYiTMKHgktTP8We1SCoS47DrQ/edit?usp=sharing"",""จัดที่ดิน!BM80"")"),0)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IFERROR(__xludf.DUMMYFUNCTION("IMPORTRANGE(""https://docs.google.com/spreadsheets/d/1XWAQStnk-4SwqDmLtmXYiTMKHgktTP8We1SCoS47DrQ/edit?usp=sharing"",""จัดที่ดิน!BN80"")"),0)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IFERROR(__xludf.DUMMYFUNCTION("IMPORTRANGE(""https://docs.google.com/spreadsheets/d/1QqKyyYR6Q21VydFLVH3TRQUabQu_ym0Zz7PgGX0-kHA/edit?usp=sharing"",""แผน!IM80"")"),212)</f>
        <v>212</v>
      </c>
      <c r="J725" s="880">
        <f ca="1">IFERROR(__xludf.DUMMYFUNCTION("IMPORTRANGE(""https://docs.google.com/spreadsheets/d/1XWAQStnk-4SwqDmLtmXYiTMKHgktTP8We1SCoS47DrQ/edit?usp=sharing"",""จัดที่ดิน!BO80"")"),0)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IFERROR(__xludf.DUMMYFUNCTION("IMPORTRANGE(""https://docs.google.com/spreadsheets/d/1QqKyyYR6Q21VydFLVH3TRQUabQu_ym0Zz7PgGX0-kHA/edit?usp=sharing"",""แผน!IN80"")"),37)</f>
        <v>37</v>
      </c>
      <c r="J726" s="880">
        <f ca="1">IFERROR(__xludf.DUMMYFUNCTION("IMPORTRANGE(""https://docs.google.com/spreadsheets/d/1XWAQStnk-4SwqDmLtmXYiTMKHgktTP8We1SCoS47DrQ/edit?usp=sharing"",""จัดที่ดิน!BR80"")"),0)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IFERROR(__xludf.DUMMYFUNCTION("IMPORTRANGE(""https://docs.google.com/spreadsheets/d/1XWAQStnk-4SwqDmLtmXYiTMKHgktTP8We1SCoS47DrQ/edit?usp=sharing"",""จัดที่ดิน!BS80"")"),0)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IFERROR(__xludf.DUMMYFUNCTION("IMPORTRANGE(""https://docs.google.com/spreadsheets/d/1QqKyyYR6Q21VydFLVH3TRQUabQu_ym0Zz7PgGX0-kHA/edit?usp=sharing"",""แผน!IO80"")"),120)</f>
        <v>120</v>
      </c>
      <c r="J728" s="880">
        <f ca="1">IFERROR(__xludf.DUMMYFUNCTION("IMPORTRANGE(""https://docs.google.com/spreadsheets/d/1XWAQStnk-4SwqDmLtmXYiTMKHgktTP8We1SCoS47DrQ/edit?usp=sharing"",""จัดที่ดิน!BT80"")"),0)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IFERROR(__xludf.DUMMYFUNCTION("IMPORTRANGE(""https://docs.google.com/spreadsheets/d/1QqKyyYR6Q21VydFLVH3TRQUabQu_ym0Zz7PgGX0-kHA/edit?usp=sharing"",""แผน!IP80"")"),0)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IFERROR(__xludf.DUMMYFUNCTION("IMPORTRANGE(""https://docs.google.com/spreadsheets/d/1QqKyyYR6Q21VydFLVH3TRQUabQu_ym0Zz7PgGX0-kHA/edit?usp=sharing"",""แผน!JJ80"")"),0)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IFERROR(__xludf.DUMMYFUNCTION("IMPORTRANGE(""https://docs.google.com/spreadsheets/d/1QqKyyYR6Q21VydFLVH3TRQUabQu_ym0Zz7PgGX0-kHA/edit?usp=sharing"",""แผน!JN80"")"),0)</f>
        <v>0</v>
      </c>
      <c r="J800" s="997">
        <f ca="1">IFERROR(__xludf.DUMMYFUNCTION("IMPORTRANGE(""https://docs.google.com/spreadsheets/d/1MaWodYyGHDf7siQLGxnXhG4mBNTNIuy296niS2xXulU/edit?usp=sharing"",""RTK!H80"")"),0)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IFERROR(__xludf.DUMMYFUNCTION("IMPORTRANGE(""https://docs.google.com/spreadsheets/d/1MaWodYyGHDf7siQLGxnXhG4mBNTNIuy296niS2xXulU/edit?usp=sharing"",""RTK!I80"")"),0)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>
        <v>0</v>
      </c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>
        <v>0</v>
      </c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343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880">
        <f ca="1">IFERROR(__xludf.DUMMYFUNCTION("IMPORTRANGE(""https://docs.google.com/spreadsheets/d/19vJNZY_5yjcGF2XGBMNZRCAIB0Kwfpjp8YEOfu-bneM/edit?usp=sharing"",""งานกองทุน!F80"")"),36222.57)</f>
        <v>36222.57</v>
      </c>
      <c r="K821" s="881">
        <f t="shared" ref="K821:K828" ca="1" si="335">IF(I821&gt;0,J821*100/I821,0)</f>
        <v>7.6541348223084071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IFERROR(__xludf.DUMMYFUNCTION("IMPORTRANGE(""https://docs.google.com/spreadsheets/d/19vJNZY_5yjcGF2XGBMNZRCAIB0Kwfpjp8YEOfu-bneM/edit?usp=sharing"",""งานกองทุน!C80"")"),31)</f>
        <v>31</v>
      </c>
      <c r="J822" s="880">
        <f ca="1">IFERROR(__xludf.DUMMYFUNCTION("IMPORTRANGE(""https://docs.google.com/spreadsheets/d/19vJNZY_5yjcGF2XGBMNZRCAIB0Kwfpjp8YEOfu-bneM/edit?usp=sharing"",""งานกองทุน!E80"")"),9)</f>
        <v>9</v>
      </c>
      <c r="K822" s="881">
        <f t="shared" ca="1" si="335"/>
        <v>29.032258064516128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880">
        <f ca="1">IFERROR(__xludf.DUMMYFUNCTION("IMPORTRANGE(""https://docs.google.com/spreadsheets/d/19vJNZY_5yjcGF2XGBMNZRCAIB0Kwfpjp8YEOfu-bneM/edit?usp=sharing"",""งานกองทุน!K80"")"),90121.98)</f>
        <v>90121.98</v>
      </c>
      <c r="K823" s="881">
        <f t="shared" ca="1" si="335"/>
        <v>4.7872962609827843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IFERROR(__xludf.DUMMYFUNCTION("IMPORTRANGE(""https://docs.google.com/spreadsheets/d/19vJNZY_5yjcGF2XGBMNZRCAIB0Kwfpjp8YEOfu-bneM/edit?usp=sharing"",""งานกองทุน!H80"")"),131)</f>
        <v>131</v>
      </c>
      <c r="J824" s="880">
        <f ca="1">IFERROR(__xludf.DUMMYFUNCTION("IMPORTRANGE(""https://docs.google.com/spreadsheets/d/19vJNZY_5yjcGF2XGBMNZRCAIB0Kwfpjp8YEOfu-bneM/edit?usp=sharing"",""งานกองทุน!J80"")"),103)</f>
        <v>103</v>
      </c>
      <c r="K824" s="881">
        <f t="shared" ca="1" si="335"/>
        <v>78.625954198473281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IFERROR(__xludf.DUMMYFUNCTION("IMPORTRANGE(""https://docs.google.com/spreadsheets/d/19vJNZY_5yjcGF2XGBMNZRCAIB0Kwfpjp8YEOfu-bneM/edit?usp=sharing"",""งานกองทุน!N80"")"),26632.55)</f>
        <v>26632.55</v>
      </c>
      <c r="J825" s="880">
        <f ca="1">IFERROR(__xludf.DUMMYFUNCTION("IMPORTRANGE(""https://docs.google.com/spreadsheets/d/19vJNZY_5yjcGF2XGBMNZRCAIB0Kwfpjp8YEOfu-bneM/edit?usp=sharing"",""งานกองทุน!P80"")"),499.29)</f>
        <v>499.29</v>
      </c>
      <c r="K825" s="881">
        <f t="shared" ca="1" si="335"/>
        <v>1.8747359903576639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IFERROR(__xludf.DUMMYFUNCTION("IMPORTRANGE(""https://docs.google.com/spreadsheets/d/19vJNZY_5yjcGF2XGBMNZRCAIB0Kwfpjp8YEOfu-bneM/edit?usp=sharing"",""งานกองทุน!M80"")"),83)</f>
        <v>83</v>
      </c>
      <c r="J826" s="880">
        <f ca="1">IFERROR(__xludf.DUMMYFUNCTION("IMPORTRANGE(""https://docs.google.com/spreadsheets/d/19vJNZY_5yjcGF2XGBMNZRCAIB0Kwfpjp8YEOfu-bneM/edit?usp=sharing"",""งานกองทุน!O80"")"),3)</f>
        <v>3</v>
      </c>
      <c r="K826" s="881">
        <f t="shared" ca="1" si="335"/>
        <v>3.6144578313253013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IFERROR(__xludf.DUMMYFUNCTION("IMPORTRANGE(""https://docs.google.com/spreadsheets/d/19vJNZY_5yjcGF2XGBMNZRCAIB0Kwfpjp8YEOfu-bneM/edit?usp=sharing"",""งานกองทุน!S80"")"),300000)</f>
        <v>300000</v>
      </c>
      <c r="J827" s="880">
        <f ca="1">IFERROR(__xludf.DUMMYFUNCTION("IMPORTRANGE(""https://docs.google.com/spreadsheets/d/19vJNZY_5yjcGF2XGBMNZRCAIB0Kwfpjp8YEOfu-bneM/edit?usp=sharing"",""งานกองทุน!U80"")"),200000)</f>
        <v>200000</v>
      </c>
      <c r="K827" s="881">
        <f t="shared" ca="1" si="335"/>
        <v>66.666666666666671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IFERROR(__xludf.DUMMYFUNCTION("IMPORTRANGE(""https://docs.google.com/spreadsheets/d/19vJNZY_5yjcGF2XGBMNZRCAIB0Kwfpjp8YEOfu-bneM/edit?usp=sharing"",""งานกองทุน!R80"")"),7)</f>
        <v>7</v>
      </c>
      <c r="J828" s="1138">
        <f ca="1">IFERROR(__xludf.DUMMYFUNCTION("IMPORTRANGE(""https://docs.google.com/spreadsheets/d/19vJNZY_5yjcGF2XGBMNZRCAIB0Kwfpjp8YEOfu-bneM/edit?usp=sharing"",""งานกองทุน!T80"")"),4)</f>
        <v>4</v>
      </c>
      <c r="K828" s="1239">
        <f t="shared" ca="1" si="335"/>
        <v>57.142857142857146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7D438-A2CD-4347-8002-9F9607111B6F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9" width="16.140625" style="852" bestFit="1" customWidth="1"/>
    <col min="10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345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7772113</v>
      </c>
      <c r="M8" s="867">
        <f t="shared" ca="1" si="0"/>
        <v>7273583</v>
      </c>
      <c r="N8" s="867">
        <f t="shared" ca="1" si="0"/>
        <v>1903529.94</v>
      </c>
      <c r="O8" s="867">
        <f t="shared" ref="O8:O16" ca="1" si="1">IF(L8&gt;0,N8*100/L8,0)</f>
        <v>24.491794445088484</v>
      </c>
      <c r="P8" s="867">
        <f t="shared" ref="P8:P16" ca="1" si="2">IF(M8&gt;0,N8*100/M8,0)</f>
        <v>26.17045739355693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7772113</v>
      </c>
      <c r="M10" s="874">
        <f t="shared" ca="1" si="3"/>
        <v>7273583</v>
      </c>
      <c r="N10" s="874">
        <f t="shared" ca="1" si="3"/>
        <v>1903529.94</v>
      </c>
      <c r="O10" s="874">
        <f t="shared" ca="1" si="1"/>
        <v>24.491794445088484</v>
      </c>
      <c r="P10" s="874">
        <f t="shared" ca="1" si="2"/>
        <v>26.17045739355693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3026113</v>
      </c>
      <c r="M11" s="881">
        <f t="shared" ca="1" si="4"/>
        <v>2527783</v>
      </c>
      <c r="N11" s="881">
        <f t="shared" ca="1" si="4"/>
        <v>1827729.94</v>
      </c>
      <c r="O11" s="881">
        <f t="shared" ca="1" si="1"/>
        <v>60.398601770654302</v>
      </c>
      <c r="P11" s="881">
        <f t="shared" ca="1" si="2"/>
        <v>72.305650445469411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3026113</v>
      </c>
      <c r="M13" s="887">
        <f t="shared" ca="1" si="5"/>
        <v>2527783</v>
      </c>
      <c r="N13" s="887">
        <f t="shared" ca="1" si="5"/>
        <v>1827729.94</v>
      </c>
      <c r="O13" s="887">
        <f t="shared" ca="1" si="1"/>
        <v>60.398601770654302</v>
      </c>
      <c r="P13" s="887">
        <f t="shared" ca="1" si="2"/>
        <v>72.305650445469411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4746000</v>
      </c>
      <c r="M14" s="881">
        <f t="shared" ca="1" si="6"/>
        <v>4745800</v>
      </c>
      <c r="N14" s="881">
        <f t="shared" ca="1" si="6"/>
        <v>75800</v>
      </c>
      <c r="O14" s="881">
        <f t="shared" ca="1" si="1"/>
        <v>1.597134428992836</v>
      </c>
      <c r="P14" s="881">
        <f t="shared" ca="1" si="2"/>
        <v>1.5972017362720721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4746000</v>
      </c>
      <c r="M16" s="893">
        <f t="shared" ca="1" si="7"/>
        <v>4745800</v>
      </c>
      <c r="N16" s="893">
        <f t="shared" ca="1" si="7"/>
        <v>75800</v>
      </c>
      <c r="O16" s="893">
        <f t="shared" ca="1" si="1"/>
        <v>1.597134428992836</v>
      </c>
      <c r="P16" s="893">
        <f t="shared" ca="1" si="2"/>
        <v>1.5972017362720721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7037367</v>
      </c>
      <c r="M18" s="867">
        <f t="shared" ca="1" si="8"/>
        <v>6538837</v>
      </c>
      <c r="N18" s="867">
        <f t="shared" ca="1" si="8"/>
        <v>1352918.94</v>
      </c>
      <c r="O18" s="867">
        <f t="shared" ref="O18:O26" ca="1" si="9">IF(L18&gt;0,N18*100/L18,0)</f>
        <v>19.224788759773364</v>
      </c>
      <c r="P18" s="867">
        <f t="shared" ref="P18:P26" ca="1" si="10">IF(M18&gt;0,N18*100/M18,0)</f>
        <v>20.690513312994344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7037367</v>
      </c>
      <c r="M20" s="874">
        <f t="shared" ca="1" si="11"/>
        <v>6538837</v>
      </c>
      <c r="N20" s="874">
        <f t="shared" ca="1" si="11"/>
        <v>1352918.94</v>
      </c>
      <c r="O20" s="874">
        <f t="shared" ca="1" si="9"/>
        <v>19.224788759773364</v>
      </c>
      <c r="P20" s="874">
        <f t="shared" ca="1" si="10"/>
        <v>20.690513312994344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2291367</v>
      </c>
      <c r="M21" s="881">
        <f t="shared" ca="1" si="12"/>
        <v>1793037</v>
      </c>
      <c r="N21" s="881">
        <f t="shared" ca="1" si="12"/>
        <v>1277118.94</v>
      </c>
      <c r="O21" s="881">
        <f t="shared" ca="1" si="9"/>
        <v>55.736114729766115</v>
      </c>
      <c r="P21" s="881">
        <f t="shared" ca="1" si="10"/>
        <v>71.22658037731513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2291367</v>
      </c>
      <c r="M23" s="887">
        <f t="shared" ca="1" si="13"/>
        <v>1793037</v>
      </c>
      <c r="N23" s="887">
        <f t="shared" ca="1" si="13"/>
        <v>1277118.94</v>
      </c>
      <c r="O23" s="887">
        <f t="shared" ca="1" si="9"/>
        <v>55.736114729766115</v>
      </c>
      <c r="P23" s="887">
        <f t="shared" ca="1" si="10"/>
        <v>71.22658037731513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4746000</v>
      </c>
      <c r="M24" s="881">
        <f t="shared" ca="1" si="14"/>
        <v>4745800</v>
      </c>
      <c r="N24" s="881">
        <f t="shared" ca="1" si="14"/>
        <v>75800</v>
      </c>
      <c r="O24" s="881">
        <f t="shared" ca="1" si="9"/>
        <v>1.597134428992836</v>
      </c>
      <c r="P24" s="881">
        <f t="shared" ca="1" si="10"/>
        <v>1.5972017362720721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4746000</v>
      </c>
      <c r="M26" s="893">
        <f t="shared" ca="1" si="15"/>
        <v>4745800</v>
      </c>
      <c r="N26" s="893">
        <f t="shared" ca="1" si="15"/>
        <v>75800</v>
      </c>
      <c r="O26" s="893">
        <f t="shared" ca="1" si="9"/>
        <v>1.597134428992836</v>
      </c>
      <c r="P26" s="893">
        <f t="shared" ca="1" si="10"/>
        <v>1.5972017362720721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734746</v>
      </c>
      <c r="M28" s="867">
        <f t="shared" ca="1" si="16"/>
        <v>734746</v>
      </c>
      <c r="N28" s="867">
        <f t="shared" si="16"/>
        <v>550611</v>
      </c>
      <c r="O28" s="867">
        <f t="shared" ref="O28:O37" ca="1" si="17">IF(L28&gt;0,N28*100/L28,0)</f>
        <v>74.938958497222174</v>
      </c>
      <c r="P28" s="867">
        <f t="shared" ref="P28:P37" ca="1" si="18">IF(M28&gt;0,N28*100/M28,0)</f>
        <v>74.938958497222174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734746</v>
      </c>
      <c r="M30" s="874">
        <f t="shared" ca="1" si="19"/>
        <v>734746</v>
      </c>
      <c r="N30" s="874">
        <f t="shared" si="19"/>
        <v>550611</v>
      </c>
      <c r="O30" s="874">
        <f t="shared" ca="1" si="17"/>
        <v>74.938958497222174</v>
      </c>
      <c r="P30" s="874">
        <f t="shared" ca="1" si="18"/>
        <v>74.938958497222174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734746</v>
      </c>
      <c r="M31" s="881">
        <f t="shared" ca="1" si="20"/>
        <v>734746</v>
      </c>
      <c r="N31" s="881">
        <f t="shared" si="20"/>
        <v>550611</v>
      </c>
      <c r="O31" s="881">
        <f t="shared" ca="1" si="17"/>
        <v>74.938958497222174</v>
      </c>
      <c r="P31" s="881">
        <f t="shared" ca="1" si="18"/>
        <v>74.938958497222174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734746</v>
      </c>
      <c r="M33" s="887">
        <f t="shared" ca="1" si="21"/>
        <v>734746</v>
      </c>
      <c r="N33" s="887">
        <f t="shared" si="21"/>
        <v>550611</v>
      </c>
      <c r="O33" s="887">
        <f t="shared" ca="1" si="17"/>
        <v>74.938958497222174</v>
      </c>
      <c r="P33" s="887">
        <f t="shared" ca="1" si="18"/>
        <v>74.938958497222174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7037367</v>
      </c>
      <c r="M37" s="900">
        <f t="shared" ca="1" si="24"/>
        <v>6538837</v>
      </c>
      <c r="N37" s="900">
        <f t="shared" ca="1" si="24"/>
        <v>1352918.94</v>
      </c>
      <c r="O37" s="900">
        <f t="shared" ca="1" si="17"/>
        <v>19.224788759773364</v>
      </c>
      <c r="P37" s="900">
        <f t="shared" ca="1" si="18"/>
        <v>20.690513312994344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193842</v>
      </c>
      <c r="M41" s="926">
        <f t="shared" ca="1" si="25"/>
        <v>207932</v>
      </c>
      <c r="N41" s="926">
        <f t="shared" ca="1" si="25"/>
        <v>143212.5</v>
      </c>
      <c r="O41" s="926">
        <f t="shared" ref="O41:O49" ca="1" si="26">IF(L41&gt;0,N41*100/L41,0)</f>
        <v>73.881047451016812</v>
      </c>
      <c r="P41" s="926">
        <f t="shared" ref="P41:P49" ca="1" si="27">IF(M41&gt;0,N41*100/M41,0)</f>
        <v>68.874680183906278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193842</v>
      </c>
      <c r="M43" s="932">
        <f t="shared" ca="1" si="28"/>
        <v>207932</v>
      </c>
      <c r="N43" s="932">
        <f t="shared" ca="1" si="28"/>
        <v>143212.5</v>
      </c>
      <c r="O43" s="932">
        <f t="shared" ca="1" si="26"/>
        <v>73.881047451016812</v>
      </c>
      <c r="P43" s="932">
        <f t="shared" ca="1" si="27"/>
        <v>68.874680183906278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193842</v>
      </c>
      <c r="M44" s="881">
        <f t="shared" ca="1" si="29"/>
        <v>207932</v>
      </c>
      <c r="N44" s="881">
        <f t="shared" ca="1" si="29"/>
        <v>143212.5</v>
      </c>
      <c r="O44" s="881">
        <f t="shared" ca="1" si="26"/>
        <v>73.881047451016812</v>
      </c>
      <c r="P44" s="881">
        <f t="shared" ca="1" si="27"/>
        <v>68.874680183906278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IFERROR(__xludf.DUMMYFUNCTION("IMPORTRANGE(""https://docs.google.com/spreadsheets/d/1MeEWN-I1oV_STSDYn1IFDPWt_1FKiwhDph83XaGc0o0/edit?usp=sharing"",""งบพรบ!M81"")"),193842)</f>
        <v>193842</v>
      </c>
      <c r="M46" s="887">
        <f ca="1">IFERROR(__xludf.DUMMYFUNCTION("IMPORTRANGE(""https://docs.google.com/spreadsheets/d/1MeEWN-I1oV_STSDYn1IFDPWt_1FKiwhDph83XaGc0o0/edit?usp=sharing"",""งบพรบ!R81"")"),207932)</f>
        <v>207932</v>
      </c>
      <c r="N46" s="887">
        <f ca="1">IFERROR(__xludf.DUMMYFUNCTION("IMPORTRANGE(""https://docs.google.com/spreadsheets/d/1MeEWN-I1oV_STSDYn1IFDPWt_1FKiwhDph83XaGc0o0/edit?usp=sharing"",""งบพรบ!T81"")"),143212.5)</f>
        <v>143212.5</v>
      </c>
      <c r="O46" s="887">
        <f t="shared" ca="1" si="26"/>
        <v>73.881047451016812</v>
      </c>
      <c r="P46" s="887">
        <f t="shared" ca="1" si="27"/>
        <v>68.874680183906278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IFERROR(__xludf.DUMMYFUNCTION("IMPORTRANGE(""https://docs.google.com/spreadsheets/d/1MeEWN-I1oV_STSDYn1IFDPWt_1FKiwhDph83XaGc0o0/edit?usp=sharing"",""งบพรบ!P81"")"),0)</f>
        <v>0</v>
      </c>
      <c r="M49" s="893">
        <f ca="1">IFERROR(__xludf.DUMMYFUNCTION("IMPORTRANGE(""https://docs.google.com/spreadsheets/d/1MeEWN-I1oV_STSDYn1IFDPWt_1FKiwhDph83XaGc0o0/edit?usp=sharing"",""งบพรบ!S81"")"),0)</f>
        <v>0</v>
      </c>
      <c r="N49" s="893">
        <f ca="1">IFERROR(__xludf.DUMMYFUNCTION("IMPORTRANGE(""https://docs.google.com/spreadsheets/d/1MeEWN-I1oV_STSDYn1IFDPWt_1FKiwhDph83XaGc0o0/edit?usp=sharing"",""งบพรบ!U81"")"),0)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5589500</v>
      </c>
      <c r="M53" s="956">
        <f t="shared" ca="1" si="31"/>
        <v>5359625</v>
      </c>
      <c r="N53" s="956">
        <f t="shared" ca="1" si="31"/>
        <v>608178.13</v>
      </c>
      <c r="O53" s="956">
        <f t="shared" ref="O53:O61" ca="1" si="32">IF(L53&gt;0,N53*100/L53,0)</f>
        <v>10.880725109580464</v>
      </c>
      <c r="P53" s="956">
        <f t="shared" ref="P53:P61" ca="1" si="33">IF(M53&gt;0,N53*100/M53,0)</f>
        <v>11.347400797630431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5589500</v>
      </c>
      <c r="M55" s="962">
        <f t="shared" ca="1" si="34"/>
        <v>5359625</v>
      </c>
      <c r="N55" s="962">
        <f t="shared" ca="1" si="34"/>
        <v>608178.13</v>
      </c>
      <c r="O55" s="962">
        <f t="shared" ca="1" si="32"/>
        <v>10.880725109580464</v>
      </c>
      <c r="P55" s="962">
        <f t="shared" ca="1" si="33"/>
        <v>11.347400797630431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919500</v>
      </c>
      <c r="M56" s="881">
        <f t="shared" ca="1" si="35"/>
        <v>689625</v>
      </c>
      <c r="N56" s="881">
        <f t="shared" ca="1" si="35"/>
        <v>608178.13</v>
      </c>
      <c r="O56" s="881">
        <f t="shared" ca="1" si="32"/>
        <v>66.142265361609574</v>
      </c>
      <c r="P56" s="881">
        <f t="shared" ca="1" si="33"/>
        <v>88.189687148812766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IFERROR(__xludf.DUMMYFUNCTION("IMPORTRANGE(""https://docs.google.com/spreadsheets/d/1MeEWN-I1oV_STSDYn1IFDPWt_1FKiwhDph83XaGc0o0/edit?usp=sharing"",""งบพรบ!W81"")"),919500)</f>
        <v>919500</v>
      </c>
      <c r="M58" s="887">
        <f ca="1">IFERROR(__xludf.DUMMYFUNCTION("IMPORTRANGE(""https://docs.google.com/spreadsheets/d/1MeEWN-I1oV_STSDYn1IFDPWt_1FKiwhDph83XaGc0o0/edit?usp=sharing"",""งบพรบ!AB81"")"),689625)</f>
        <v>689625</v>
      </c>
      <c r="N58" s="887">
        <f ca="1">IFERROR(__xludf.DUMMYFUNCTION("IMPORTRANGE(""https://docs.google.com/spreadsheets/d/1MeEWN-I1oV_STSDYn1IFDPWt_1FKiwhDph83XaGc0o0/edit?usp=sharing"",""งบพรบ!AD81"")"),608178.13)</f>
        <v>608178.13</v>
      </c>
      <c r="O58" s="887">
        <f t="shared" ca="1" si="32"/>
        <v>66.142265361609574</v>
      </c>
      <c r="P58" s="887">
        <f t="shared" ca="1" si="33"/>
        <v>88.189687148812766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4670000</v>
      </c>
      <c r="M59" s="881">
        <f t="shared" ca="1" si="36"/>
        <v>4670000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IFERROR(__xludf.DUMMYFUNCTION("IMPORTRANGE(""https://docs.google.com/spreadsheets/d/1MeEWN-I1oV_STSDYn1IFDPWt_1FKiwhDph83XaGc0o0/edit?usp=sharing"",""งบพรบ!Z81"")"),4670000)</f>
        <v>4670000</v>
      </c>
      <c r="M61" s="893">
        <f ca="1">IFERROR(__xludf.DUMMYFUNCTION("IMPORTRANGE(""https://docs.google.com/spreadsheets/d/1MeEWN-I1oV_STSDYn1IFDPWt_1FKiwhDph83XaGc0o0/edit?usp=sharing"",""งบพรบ!AC81"")"),4670000)</f>
        <v>4670000</v>
      </c>
      <c r="N61" s="893">
        <f ca="1">IFERROR(__xludf.DUMMYFUNCTION("IMPORTRANGE(""https://docs.google.com/spreadsheets/d/1MeEWN-I1oV_STSDYn1IFDPWt_1FKiwhDph83XaGc0o0/edit?usp=sharing"",""งบพรบ!AE81"")"),0)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IFERROR(__xludf.DUMMYFUNCTION("IMPORTRANGE(""https://docs.google.com/spreadsheets/d/1MeEWN-I1oV_STSDYn1IFDPWt_1FKiwhDph83XaGc0o0/edit?usp=sharing"",""งบพรบ!AG81"")"),0)</f>
        <v>0</v>
      </c>
      <c r="M71" s="887">
        <f ca="1">IFERROR(__xludf.DUMMYFUNCTION("IMPORTRANGE(""https://docs.google.com/spreadsheets/d/1MeEWN-I1oV_STSDYn1IFDPWt_1FKiwhDph83XaGc0o0/edit?usp=sharing"",""งบพรบ!AL81"")"),0)</f>
        <v>0</v>
      </c>
      <c r="N71" s="887">
        <f ca="1">IFERROR(__xludf.DUMMYFUNCTION("IMPORTRANGE(""https://docs.google.com/spreadsheets/d/1MeEWN-I1oV_STSDYn1IFDPWt_1FKiwhDph83XaGc0o0/edit?usp=sharing"",""งบพรบ!AN81"")"),0)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IFERROR(__xludf.DUMMYFUNCTION("IMPORTRANGE(""https://docs.google.com/spreadsheets/d/1MeEWN-I1oV_STSDYn1IFDPWt_1FKiwhDph83XaGc0o0/edit?usp=sharing"",""งบพรบ!AJ81"")"),0)</f>
        <v>0</v>
      </c>
      <c r="M74" s="887">
        <f ca="1">IFERROR(__xludf.DUMMYFUNCTION("IMPORTRANGE(""https://docs.google.com/spreadsheets/d/1MeEWN-I1oV_STSDYn1IFDPWt_1FKiwhDph83XaGc0o0/edit?usp=sharing"",""งบพรบ!AM81"")"),0)</f>
        <v>0</v>
      </c>
      <c r="N74" s="887">
        <f ca="1">IFERROR(__xludf.DUMMYFUNCTION("IMPORTRANGE(""https://docs.google.com/spreadsheets/d/1MeEWN-I1oV_STSDYn1IFDPWt_1FKiwhDph83XaGc0o0/edit?usp=sharing"",""งบพรบ!AO81"")"),0)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IFERROR(__xludf.DUMMYFUNCTION("IMPORTRANGE(""https://docs.google.com/spreadsheets/d/1QqKyyYR6Q21VydFLVH3TRQUabQu_ym0Zz7PgGX0-kHA/edit?usp=sharing"",""แผน!H81"")"),0)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IFERROR(__xludf.DUMMYFUNCTION("IMPORTRANGE(""https://docs.google.com/spreadsheets/d/1QqKyyYR6Q21VydFLVH3TRQUabQu_ym0Zz7PgGX0-kHA/edit?usp=sharing"",""แผน!I81"")"),0)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IFERROR(__xludf.DUMMYFUNCTION("IMPORTRANGE(""https://docs.google.com/spreadsheets/d/1QqKyyYR6Q21VydFLVH3TRQUabQu_ym0Zz7PgGX0-kHA/edit?usp=sharing"",""แผน!F81"")"),0)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IFERROR(__xludf.DUMMYFUNCTION("IMPORTRANGE(""https://docs.google.com/spreadsheets/d/1QqKyyYR6Q21VydFLVH3TRQUabQu_ym0Zz7PgGX0-kHA/edit?usp=sharing"",""แผน!G81"")"),0)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IFERROR(__xludf.DUMMYFUNCTION("IMPORTRANGE(""https://docs.google.com/spreadsheets/d/1QqKyyYR6Q21VydFLVH3TRQUabQu_ym0Zz7PgGX0-kHA/edit?usp=sharing"",""แผน!D81"")"),0)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IFERROR(__xludf.DUMMYFUNCTION("IMPORTRANGE(""https://docs.google.com/spreadsheets/d/1QqKyyYR6Q21VydFLVH3TRQUabQu_ym0Zz7PgGX0-kHA/edit?usp=sharing"",""แผน!E81"")"),0)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IFERROR(__xludf.DUMMYFUNCTION("IMPORTRANGE(""https://docs.google.com/spreadsheets/d/1QqKyyYR6Q21VydFLVH3TRQUabQu_ym0Zz7PgGX0-kHA/edit?usp=sharing"",""แผน!J81"")"),0)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0</v>
      </c>
      <c r="J86" s="982">
        <f t="shared" si="47"/>
        <v>0</v>
      </c>
      <c r="K86" s="983">
        <f t="shared" ref="K86:K87" ca="1" si="48">IF(I86&gt;0,J86*100/I86,0)</f>
        <v>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0</v>
      </c>
      <c r="J87" s="982">
        <f t="shared" si="47"/>
        <v>0</v>
      </c>
      <c r="K87" s="983">
        <f t="shared" ca="1" si="48"/>
        <v>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333500</v>
      </c>
      <c r="M88" s="992">
        <f t="shared" ca="1" si="49"/>
        <v>252800</v>
      </c>
      <c r="N88" s="992">
        <f t="shared" ca="1" si="49"/>
        <v>154950.78</v>
      </c>
      <c r="O88" s="992">
        <f t="shared" ref="O88:O96" ca="1" si="50">IF(L88&gt;0,N88*100/L88,0)</f>
        <v>46.462002998500751</v>
      </c>
      <c r="P88" s="992">
        <f t="shared" ref="P88:P96" ca="1" si="51">IF(M88&gt;0,N88*100/M88,0)</f>
        <v>61.293821202531646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333500</v>
      </c>
      <c r="M90" s="887">
        <f t="shared" ca="1" si="52"/>
        <v>252800</v>
      </c>
      <c r="N90" s="887">
        <f t="shared" ca="1" si="52"/>
        <v>154950.78</v>
      </c>
      <c r="O90" s="887">
        <f t="shared" ca="1" si="50"/>
        <v>46.462002998500751</v>
      </c>
      <c r="P90" s="887">
        <f t="shared" ca="1" si="51"/>
        <v>61.293821202531646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333500</v>
      </c>
      <c r="M91" s="881">
        <f t="shared" ca="1" si="53"/>
        <v>252800</v>
      </c>
      <c r="N91" s="881">
        <f t="shared" ca="1" si="53"/>
        <v>154950.78</v>
      </c>
      <c r="O91" s="881">
        <f t="shared" ca="1" si="50"/>
        <v>46.462002998500751</v>
      </c>
      <c r="P91" s="881">
        <f t="shared" ca="1" si="51"/>
        <v>61.293821202531646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IFERROR(__xludf.DUMMYFUNCTION("IMPORTRANGE(""https://docs.google.com/spreadsheets/d/1MeEWN-I1oV_STSDYn1IFDPWt_1FKiwhDph83XaGc0o0/edit?usp=sharing"",""งบพรบ!AQ81"")"),333500)</f>
        <v>333500</v>
      </c>
      <c r="M93" s="887">
        <f ca="1">IFERROR(__xludf.DUMMYFUNCTION("IMPORTRANGE(""https://docs.google.com/spreadsheets/d/1MeEWN-I1oV_STSDYn1IFDPWt_1FKiwhDph83XaGc0o0/edit?usp=sharing"",""งบพรบ!AV81"")"),252800)</f>
        <v>252800</v>
      </c>
      <c r="N93" s="887">
        <f ca="1">IFERROR(__xludf.DUMMYFUNCTION("IMPORTRANGE(""https://docs.google.com/spreadsheets/d/1MeEWN-I1oV_STSDYn1IFDPWt_1FKiwhDph83XaGc0o0/edit?usp=sharing"",""งบพรบ!AX81"")"),154950.78)</f>
        <v>154950.78</v>
      </c>
      <c r="O93" s="887">
        <f t="shared" ca="1" si="50"/>
        <v>46.462002998500751</v>
      </c>
      <c r="P93" s="887">
        <f t="shared" ca="1" si="51"/>
        <v>61.293821202531646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IFERROR(__xludf.DUMMYFUNCTION("IMPORTRANGE(""https://docs.google.com/spreadsheets/d/1MeEWN-I1oV_STSDYn1IFDPWt_1FKiwhDph83XaGc0o0/edit?usp=sharing"",""งบพรบ!AT81"")"),0)</f>
        <v>0</v>
      </c>
      <c r="M96" s="887">
        <f ca="1">IFERROR(__xludf.DUMMYFUNCTION("IMPORTRANGE(""https://docs.google.com/spreadsheets/d/1MeEWN-I1oV_STSDYn1IFDPWt_1FKiwhDph83XaGc0o0/edit?usp=sharing"",""งบพรบ!AW81"")"),0)</f>
        <v>0</v>
      </c>
      <c r="N96" s="887">
        <f ca="1">IFERROR(__xludf.DUMMYFUNCTION("IMPORTRANGE(""https://docs.google.com/spreadsheets/d/1MeEWN-I1oV_STSDYn1IFDPWt_1FKiwhDph83XaGc0o0/edit?usp=sharing"",""งบพรบ!AY81"")"),0)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IFERROR(__xludf.DUMMYFUNCTION("IMPORTRANGE(""https://docs.google.com/spreadsheets/d/1QqKyyYR6Q21VydFLVH3TRQUabQu_ym0Zz7PgGX0-kHA/edit?usp=sharing"",""แผน!K81"")"),0)</f>
        <v>0</v>
      </c>
      <c r="J98" s="880">
        <f>J102</f>
        <v>0</v>
      </c>
      <c r="K98" s="881">
        <f t="shared" ref="K98:K100" ca="1" si="55">IF(I98&gt;0,J98*100/I98,0)</f>
        <v>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IFERROR(__xludf.DUMMYFUNCTION("IMPORTRANGE(""https://docs.google.com/spreadsheets/d/1QqKyyYR6Q21VydFLVH3TRQUabQu_ym0Zz7PgGX0-kHA/edit?usp=sharing"",""แผน!L81"")"),0)</f>
        <v>0</v>
      </c>
      <c r="J99" s="880">
        <f>J104</f>
        <v>0</v>
      </c>
      <c r="K99" s="881">
        <f t="shared" ca="1" si="55"/>
        <v>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IFERROR(__xludf.DUMMYFUNCTION("IMPORTRANGE(""https://docs.google.com/spreadsheets/d/1QqKyyYR6Q21VydFLVH3TRQUabQu_ym0Zz7PgGX0-kHA/edit?usp=sharing"",""แผน!M81"")"),1)</f>
        <v>1</v>
      </c>
      <c r="J100" s="880">
        <f>J107+J110</f>
        <v>1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IFERROR(__xludf.DUMMYFUNCTION("IMPORTRANGE(""https://docs.google.com/spreadsheets/d/1QqKyyYR6Q21VydFLVH3TRQUabQu_ym0Zz7PgGX0-kHA/edit?usp=sharing"",""แผน!N81"")"),0)</f>
        <v>0</v>
      </c>
      <c r="J102" s="1012">
        <v>0</v>
      </c>
      <c r="K102" s="881">
        <f t="shared" ref="K102:K104" ca="1" si="56">IF(I102&gt;0,J102*100/I102,0)</f>
        <v>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IFERROR(__xludf.DUMMYFUNCTION("IMPORTRANGE(""https://docs.google.com/spreadsheets/d/1QqKyyYR6Q21VydFLVH3TRQUabQu_ym0Zz7PgGX0-kHA/edit?usp=sharing"",""แผน!O81"")"),0)</f>
        <v>0</v>
      </c>
      <c r="J103" s="1012">
        <v>0</v>
      </c>
      <c r="K103" s="881">
        <f t="shared" ca="1" si="56"/>
        <v>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IFERROR(__xludf.DUMMYFUNCTION("IMPORTRANGE(""https://docs.google.com/spreadsheets/d/1QqKyyYR6Q21VydFLVH3TRQUabQu_ym0Zz7PgGX0-kHA/edit?usp=sharing"",""แผน!O81"")"),0)</f>
        <v>0</v>
      </c>
      <c r="J104" s="1012">
        <v>0</v>
      </c>
      <c r="K104" s="881">
        <f t="shared" ca="1" si="56"/>
        <v>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IFERROR(__xludf.DUMMYFUNCTION("IMPORTRANGE(""https://docs.google.com/spreadsheets/d/1QqKyyYR6Q21VydFLVH3TRQUabQu_ym0Zz7PgGX0-kHA/edit?usp=sharing"",""แผน!P81"")"),1)</f>
        <v>1</v>
      </c>
      <c r="J106" s="1012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IFERROR(__xludf.DUMMYFUNCTION("IMPORTRANGE(""https://docs.google.com/spreadsheets/d/1QqKyyYR6Q21VydFLVH3TRQUabQu_ym0Zz7PgGX0-kHA/edit?usp=sharing"",""แผน!P81"")"),1)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IFERROR(__xludf.DUMMYFUNCTION("IMPORTRANGE(""https://docs.google.com/spreadsheets/d/1QqKyyYR6Q21VydFLVH3TRQUabQu_ym0Zz7PgGX0-kHA/edit?usp=sharing"",""แผน!Q81"")"),0)</f>
        <v>0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IFERROR(__xludf.DUMMYFUNCTION("IMPORTRANGE(""https://docs.google.com/spreadsheets/d/1QqKyyYR6Q21VydFLVH3TRQUabQu_ym0Zz7PgGX0-kHA/edit?usp=sharing"",""แผน!Q81"")"),0)</f>
        <v>0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IFERROR(__xludf.DUMMYFUNCTION("IMPORTRANGE(""https://docs.google.com/spreadsheets/d/1QqKyyYR6Q21VydFLVH3TRQUabQu_ym0Zz7PgGX0-kHA/edit?usp=sharing"",""แผน!R81"")"),0)</f>
        <v>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1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IFERROR(__xludf.DUMMYFUNCTION("IMPORTRANGE(""https://docs.google.com/spreadsheets/d/1QqKyyYR6Q21VydFLVH3TRQUabQu_ym0Zz7PgGX0-kHA/edit?usp=sharing"",""แผน!R81"")"),0)</f>
        <v>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IFERROR(__xludf.DUMMYFUNCTION("IMPORTRANGE(""https://docs.google.com/spreadsheets/d/1QqKyyYR6Q21VydFLVH3TRQUabQu_ym0Zz7PgGX0-kHA/edit?usp=sharing"",""แผน!R81"")"),0)</f>
        <v>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IFERROR(__xludf.DUMMYFUNCTION("IMPORTRANGE(""https://docs.google.com/spreadsheets/d/1QqKyyYR6Q21VydFLVH3TRQUabQu_ym0Zz7PgGX0-kHA/edit?usp=sharing"",""แผน!S81"")"),1)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IFERROR(__xludf.DUMMYFUNCTION("IMPORTRANGE(""https://docs.google.com/spreadsheets/d/1QqKyyYR6Q21VydFLVH3TRQUabQu_ym0Zz7PgGX0-kHA/edit?usp=sharing"",""แผน!T81"")"),0)</f>
        <v>0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>
        <v>0</v>
      </c>
      <c r="J118" s="1027">
        <v>0</v>
      </c>
      <c r="K118" s="984">
        <v>0</v>
      </c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IFERROR(__xludf.DUMMYFUNCTION("IMPORTRANGE(""https://docs.google.com/spreadsheets/d/1MeEWN-I1oV_STSDYn1IFDPWt_1FKiwhDph83XaGc0o0/edit?usp=sharing"",""งบพรบ!BA81"")"),0)</f>
        <v>0</v>
      </c>
      <c r="M124" s="887">
        <f ca="1">IFERROR(__xludf.DUMMYFUNCTION("IMPORTRANGE(""https://docs.google.com/spreadsheets/d/1MeEWN-I1oV_STSDYn1IFDPWt_1FKiwhDph83XaGc0o0/edit?usp=sharing"",""งบพรบ!BF81"")"),0)</f>
        <v>0</v>
      </c>
      <c r="N124" s="887">
        <f ca="1">IFERROR(__xludf.DUMMYFUNCTION("IMPORTRANGE(""https://docs.google.com/spreadsheets/d/1MeEWN-I1oV_STSDYn1IFDPWt_1FKiwhDph83XaGc0o0/edit?usp=sharing"",""งบพรบ!BH81"")"),0)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IFERROR(__xludf.DUMMYFUNCTION("IMPORTRANGE(""https://docs.google.com/spreadsheets/d/1MeEWN-I1oV_STSDYn1IFDPWt_1FKiwhDph83XaGc0o0/edit?usp=sharing"",""งบพรบ!BD81"")"),0)</f>
        <v>0</v>
      </c>
      <c r="M127" s="887">
        <f ca="1">IFERROR(__xludf.DUMMYFUNCTION("IMPORTRANGE(""https://docs.google.com/spreadsheets/d/1MeEWN-I1oV_STSDYn1IFDPWt_1FKiwhDph83XaGc0o0/edit?usp=sharing"",""งบพรบ!BG81"")"),0)</f>
        <v>0</v>
      </c>
      <c r="N127" s="887">
        <f ca="1">IFERROR(__xludf.DUMMYFUNCTION("IMPORTRANGE(""https://docs.google.com/spreadsheets/d/1MeEWN-I1oV_STSDYn1IFDPWt_1FKiwhDph83XaGc0o0/edit?usp=sharing"",""งบพรบ!BI81"")"),0)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IFERROR(__xludf.DUMMYFUNCTION("IMPORTRANGE(""https://docs.google.com/spreadsheets/d/1MeEWN-I1oV_STSDYn1IFDPWt_1FKiwhDph83XaGc0o0/edit?usp=sharing"",""งบพรบ!BK81"")"),0)</f>
        <v>0</v>
      </c>
      <c r="M137" s="887">
        <f ca="1">IFERROR(__xludf.DUMMYFUNCTION("IMPORTRANGE(""https://docs.google.com/spreadsheets/d/1MeEWN-I1oV_STSDYn1IFDPWt_1FKiwhDph83XaGc0o0/edit?usp=sharing"",""งบพรบ!BP81"")"),0)</f>
        <v>0</v>
      </c>
      <c r="N137" s="887">
        <f ca="1">IFERROR(__xludf.DUMMYFUNCTION("IMPORTRANGE(""https://docs.google.com/spreadsheets/d/1MeEWN-I1oV_STSDYn1IFDPWt_1FKiwhDph83XaGc0o0/edit?usp=sharing"",""งบพรบ!BR81"")"),0)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IFERROR(__xludf.DUMMYFUNCTION("IMPORTRANGE(""https://docs.google.com/spreadsheets/d/1MeEWN-I1oV_STSDYn1IFDPWt_1FKiwhDph83XaGc0o0/edit?usp=sharing"",""งบพรบ!BN81"")"),0)</f>
        <v>0</v>
      </c>
      <c r="M140" s="887">
        <f ca="1">IFERROR(__xludf.DUMMYFUNCTION("IMPORTRANGE(""https://docs.google.com/spreadsheets/d/1MeEWN-I1oV_STSDYn1IFDPWt_1FKiwhDph83XaGc0o0/edit?usp=sharing"",""งบพรบ!BQ81"")"),0)</f>
        <v>0</v>
      </c>
      <c r="N140" s="887">
        <f ca="1">IFERROR(__xludf.DUMMYFUNCTION("IMPORTRANGE(""https://docs.google.com/spreadsheets/d/1MeEWN-I1oV_STSDYn1IFDPWt_1FKiwhDph83XaGc0o0/edit?usp=sharing"",""งบพรบ!BS81"")"),0)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IFERROR(__xludf.DUMMYFUNCTION("IMPORTRANGE(""https://docs.google.com/spreadsheets/d/1QqKyyYR6Q21VydFLVH3TRQUabQu_ym0Zz7PgGX0-kHA/edit?usp=sharing"",""แผน!U81"")"),0)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IFERROR(__xludf.DUMMYFUNCTION("IMPORTRANGE(""https://docs.google.com/spreadsheets/d/1QqKyyYR6Q21VydFLVH3TRQUabQu_ym0Zz7PgGX0-kHA/edit?usp=sharing"",""แผน!V81"")"),0)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IFERROR(__xludf.DUMMYFUNCTION("IMPORTRANGE(""https://docs.google.com/spreadsheets/d/1QqKyyYR6Q21VydFLVH3TRQUabQu_ym0Zz7PgGX0-kHA/edit?usp=sharing"",""แผน!W81"")"),0)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IFERROR(__xludf.DUMMYFUNCTION("IMPORTRANGE(""https://docs.google.com/spreadsheets/d/1MeEWN-I1oV_STSDYn1IFDPWt_1FKiwhDph83XaGc0o0/edit?usp=sharing"",""งบพรบ!BU81"")"),0)</f>
        <v>0</v>
      </c>
      <c r="M154" s="887">
        <f ca="1">IFERROR(__xludf.DUMMYFUNCTION("IMPORTRANGE(""https://docs.google.com/spreadsheets/d/1MeEWN-I1oV_STSDYn1IFDPWt_1FKiwhDph83XaGc0o0/edit?usp=sharing"",""งบพรบ!BZ81"")"),0)</f>
        <v>0</v>
      </c>
      <c r="N154" s="887">
        <f ca="1">IFERROR(__xludf.DUMMYFUNCTION("IMPORTRANGE(""https://docs.google.com/spreadsheets/d/1MeEWN-I1oV_STSDYn1IFDPWt_1FKiwhDph83XaGc0o0/edit?usp=sharing"",""งบพรบ!CB81"")"),0)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IFERROR(__xludf.DUMMYFUNCTION("IMPORTRANGE(""https://docs.google.com/spreadsheets/d/1MeEWN-I1oV_STSDYn1IFDPWt_1FKiwhDph83XaGc0o0/edit?usp=sharing"",""งบพรบ!BX81"")"),0)</f>
        <v>0</v>
      </c>
      <c r="M157" s="887">
        <f ca="1">IFERROR(__xludf.DUMMYFUNCTION("IMPORTRANGE(""https://docs.google.com/spreadsheets/d/1MeEWN-I1oV_STSDYn1IFDPWt_1FKiwhDph83XaGc0o0/edit?usp=sharing"",""งบพรบ!CA81"")"),0)</f>
        <v>0</v>
      </c>
      <c r="N157" s="887">
        <f ca="1">IFERROR(__xludf.DUMMYFUNCTION("IMPORTRANGE(""https://docs.google.com/spreadsheets/d/1MeEWN-I1oV_STSDYn1IFDPWt_1FKiwhDph83XaGc0o0/edit?usp=sharing"",""งบพรบ!CC81"")"),0)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IFERROR(__xludf.DUMMYFUNCTION("IMPORTRANGE(""https://docs.google.com/spreadsheets/d/1QqKyyYR6Q21VydFLVH3TRQUabQu_ym0Zz7PgGX0-kHA/edit?usp=sharing"",""แผน!X81"")"),0)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13</v>
      </c>
      <c r="J164" s="1075">
        <f t="shared" si="83"/>
        <v>13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24065</v>
      </c>
      <c r="M165" s="992">
        <f t="shared" ca="1" si="84"/>
        <v>41055</v>
      </c>
      <c r="N165" s="992">
        <f t="shared" ca="1" si="84"/>
        <v>39810</v>
      </c>
      <c r="O165" s="992">
        <f t="shared" ref="O165:O173" ca="1" si="85">IF(L165&gt;0,N165*100/L165,0)</f>
        <v>165.42696862663618</v>
      </c>
      <c r="P165" s="992">
        <f t="shared" ref="P165:P173" ca="1" si="86">IF(M165&gt;0,N165*100/M165,0)</f>
        <v>96.96748264523201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24065</v>
      </c>
      <c r="M167" s="887">
        <f t="shared" ca="1" si="87"/>
        <v>41055</v>
      </c>
      <c r="N167" s="887">
        <f t="shared" ca="1" si="87"/>
        <v>39810</v>
      </c>
      <c r="O167" s="887">
        <f t="shared" ca="1" si="85"/>
        <v>165.42696862663618</v>
      </c>
      <c r="P167" s="887">
        <f t="shared" ca="1" si="86"/>
        <v>96.96748264523201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24065</v>
      </c>
      <c r="M168" s="881">
        <f t="shared" ca="1" si="88"/>
        <v>41055</v>
      </c>
      <c r="N168" s="881">
        <f t="shared" ca="1" si="88"/>
        <v>39810</v>
      </c>
      <c r="O168" s="881">
        <f t="shared" ca="1" si="85"/>
        <v>165.42696862663618</v>
      </c>
      <c r="P168" s="881">
        <f t="shared" ca="1" si="86"/>
        <v>96.96748264523201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IFERROR(__xludf.DUMMYFUNCTION("IMPORTRANGE(""https://docs.google.com/spreadsheets/d/1MeEWN-I1oV_STSDYn1IFDPWt_1FKiwhDph83XaGc0o0/edit?usp=sharing"",""งบพรบ!CE81"")"),24065)</f>
        <v>24065</v>
      </c>
      <c r="M170" s="887">
        <f ca="1">IFERROR(__xludf.DUMMYFUNCTION("IMPORTRANGE(""https://docs.google.com/spreadsheets/d/1MeEWN-I1oV_STSDYn1IFDPWt_1FKiwhDph83XaGc0o0/edit?usp=sharing"",""งบพรบ!CJ81"")"),41055)</f>
        <v>41055</v>
      </c>
      <c r="N170" s="887">
        <f ca="1">IFERROR(__xludf.DUMMYFUNCTION("IMPORTRANGE(""https://docs.google.com/spreadsheets/d/1MeEWN-I1oV_STSDYn1IFDPWt_1FKiwhDph83XaGc0o0/edit?usp=sharing"",""งบพรบ!CL81"")"),39810)</f>
        <v>39810</v>
      </c>
      <c r="O170" s="887">
        <f t="shared" ca="1" si="85"/>
        <v>165.42696862663618</v>
      </c>
      <c r="P170" s="887">
        <f t="shared" ca="1" si="86"/>
        <v>96.96748264523201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IFERROR(__xludf.DUMMYFUNCTION("IMPORTRANGE(""https://docs.google.com/spreadsheets/d/1MeEWN-I1oV_STSDYn1IFDPWt_1FKiwhDph83XaGc0o0/edit?usp=sharing"",""งบพรบ!CH81"")"),0)</f>
        <v>0</v>
      </c>
      <c r="M173" s="887">
        <f ca="1">IFERROR(__xludf.DUMMYFUNCTION("IMPORTRANGE(""https://docs.google.com/spreadsheets/d/1MeEWN-I1oV_STSDYn1IFDPWt_1FKiwhDph83XaGc0o0/edit?usp=sharing"",""งบพรบ!CK81"")"),0)</f>
        <v>0</v>
      </c>
      <c r="N173" s="887">
        <f ca="1">IFERROR(__xludf.DUMMYFUNCTION("IMPORTRANGE(""https://docs.google.com/spreadsheets/d/1MeEWN-I1oV_STSDYn1IFDPWt_1FKiwhDph83XaGc0o0/edit?usp=sharing"",""งบพรบ!CM81"")"),0)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13</v>
      </c>
      <c r="J174" s="1067">
        <f t="shared" si="90"/>
        <v>13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IFERROR(__xludf.DUMMYFUNCTION("IMPORTRANGE(""https://docs.google.com/spreadsheets/d/1QqKyyYR6Q21VydFLVH3TRQUabQu_ym0Zz7PgGX0-kHA/edit?usp=sharing"",""แผน!Y81"")"),13)</f>
        <v>13</v>
      </c>
      <c r="J176" s="1012">
        <v>13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45000</v>
      </c>
      <c r="M181" s="992">
        <f t="shared" ca="1" si="92"/>
        <v>38500</v>
      </c>
      <c r="N181" s="992">
        <f t="shared" ca="1" si="92"/>
        <v>20830</v>
      </c>
      <c r="O181" s="992">
        <f t="shared" ref="O181:O189" ca="1" si="93">IF(L181&gt;0,N181*100/L181,0)</f>
        <v>46.288888888888891</v>
      </c>
      <c r="P181" s="992">
        <f t="shared" ref="P181:P189" ca="1" si="94">IF(M181&gt;0,N181*100/M181,0)</f>
        <v>54.103896103896105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45000</v>
      </c>
      <c r="M183" s="887">
        <f t="shared" ca="1" si="95"/>
        <v>38500</v>
      </c>
      <c r="N183" s="887">
        <f t="shared" ca="1" si="95"/>
        <v>20830</v>
      </c>
      <c r="O183" s="887">
        <f t="shared" ca="1" si="93"/>
        <v>46.288888888888891</v>
      </c>
      <c r="P183" s="887">
        <f t="shared" ca="1" si="94"/>
        <v>54.103896103896105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45000</v>
      </c>
      <c r="M184" s="881">
        <f t="shared" ca="1" si="96"/>
        <v>38500</v>
      </c>
      <c r="N184" s="881">
        <f t="shared" ca="1" si="96"/>
        <v>20830</v>
      </c>
      <c r="O184" s="881">
        <f t="shared" ca="1" si="93"/>
        <v>46.288888888888891</v>
      </c>
      <c r="P184" s="881">
        <f t="shared" ca="1" si="94"/>
        <v>54.103896103896105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IFERROR(__xludf.DUMMYFUNCTION("IMPORTRANGE(""https://docs.google.com/spreadsheets/d/1MeEWN-I1oV_STSDYn1IFDPWt_1FKiwhDph83XaGc0o0/edit?usp=sharing"",""งบพรบ!CO81"")"),45000)</f>
        <v>45000</v>
      </c>
      <c r="M186" s="887">
        <f ca="1">IFERROR(__xludf.DUMMYFUNCTION("IMPORTRANGE(""https://docs.google.com/spreadsheets/d/1MeEWN-I1oV_STSDYn1IFDPWt_1FKiwhDph83XaGc0o0/edit?usp=sharing"",""งบพรบ!CT81"")"),38500)</f>
        <v>38500</v>
      </c>
      <c r="N186" s="887">
        <f ca="1">IFERROR(__xludf.DUMMYFUNCTION("IMPORTRANGE(""https://docs.google.com/spreadsheets/d/1MeEWN-I1oV_STSDYn1IFDPWt_1FKiwhDph83XaGc0o0/edit?usp=sharing"",""งบพรบ!CV81"")"),20830)</f>
        <v>20830</v>
      </c>
      <c r="O186" s="887">
        <f t="shared" ca="1" si="93"/>
        <v>46.288888888888891</v>
      </c>
      <c r="P186" s="887">
        <f t="shared" ca="1" si="94"/>
        <v>54.103896103896105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IFERROR(__xludf.DUMMYFUNCTION("IMPORTRANGE(""https://docs.google.com/spreadsheets/d/1MeEWN-I1oV_STSDYn1IFDPWt_1FKiwhDph83XaGc0o0/edit?usp=sharing"",""งบพรบ!CR81"")"),0)</f>
        <v>0</v>
      </c>
      <c r="M189" s="887">
        <f ca="1">IFERROR(__xludf.DUMMYFUNCTION("IMPORTRANGE(""https://docs.google.com/spreadsheets/d/1MeEWN-I1oV_STSDYn1IFDPWt_1FKiwhDph83XaGc0o0/edit?usp=sharing"",""งบพรบ!CU81"")"),0)</f>
        <v>0</v>
      </c>
      <c r="N189" s="887">
        <f ca="1">IFERROR(__xludf.DUMMYFUNCTION("IMPORTRANGE(""https://docs.google.com/spreadsheets/d/1MeEWN-I1oV_STSDYn1IFDPWt_1FKiwhDph83XaGc0o0/edit?usp=sharing"",""งบพรบ!CW81"")"),0)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IFERROR(__xludf.DUMMYFUNCTION("IMPORTRANGE(""https://docs.google.com/spreadsheets/d/1QqKyyYR6Q21VydFLVH3TRQUabQu_ym0Zz7PgGX0-kHA/edit?usp=sharing"",""แผน!Z81"")"),6000)</f>
        <v>6000</v>
      </c>
      <c r="M191" s="992"/>
      <c r="N191" s="1081">
        <v>2830</v>
      </c>
      <c r="O191" s="992">
        <f ca="1">IF(L191&gt;0,N191*100/L191,0)</f>
        <v>47.166666666666664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IFERROR(__xludf.DUMMYFUNCTION("IMPORTRANGE(""https://docs.google.com/spreadsheets/d/1QqKyyYR6Q21VydFLVH3TRQUabQu_ym0Zz7PgGX0-kHA/edit?usp=sharing"",""แผน!AC81"")"),4)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40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40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2</v>
      </c>
      <c r="J197" s="1078">
        <f t="shared" si="99"/>
        <v>2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31000</v>
      </c>
      <c r="M198" s="992"/>
      <c r="N198" s="992">
        <f>N199+N200+N201+N202</f>
        <v>18000</v>
      </c>
      <c r="O198" s="992">
        <f ca="1">IF(L198&gt;0,N198*100/L198,0)</f>
        <v>58.064516129032256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IFERROR(__xludf.DUMMYFUNCTION("IMPORTRANGE(""https://docs.google.com/spreadsheets/d/1QqKyyYR6Q21VydFLVH3TRQUabQu_ym0Zz7PgGX0-kHA/edit?usp=sharing"",""แผน!AE81"")"),2000)</f>
        <v>2000</v>
      </c>
      <c r="M199" s="881"/>
      <c r="N199" s="1085">
        <v>2000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IFERROR(__xludf.DUMMYFUNCTION("IMPORTRANGE(""https://docs.google.com/spreadsheets/d/1QqKyyYR6Q21VydFLVH3TRQUabQu_ym0Zz7PgGX0-kHA/edit?usp=sharing"",""แผน!AF81"")"),16000)</f>
        <v>16000</v>
      </c>
      <c r="M200" s="881"/>
      <c r="N200" s="1085">
        <v>16000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IFERROR(__xludf.DUMMYFUNCTION("IMPORTRANGE(""https://docs.google.com/spreadsheets/d/1QqKyyYR6Q21VydFLVH3TRQUabQu_ym0Zz7PgGX0-kHA/edit?usp=sharing"",""แผน!AG81"")"),8000)</f>
        <v>8000</v>
      </c>
      <c r="M201" s="881"/>
      <c r="N201" s="1085">
        <v>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IFERROR(__xludf.DUMMYFUNCTION("IMPORTRANGE(""https://docs.google.com/spreadsheets/d/1QqKyyYR6Q21VydFLVH3TRQUabQu_ym0Zz7PgGX0-kHA/edit?usp=sharing"",""แผน!AH81"")"),5000)</f>
        <v>5000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IFERROR(__xludf.DUMMYFUNCTION("IMPORTRANGE(""https://docs.google.com/spreadsheets/d/1QqKyyYR6Q21VydFLVH3TRQUabQu_ym0Zz7PgGX0-kHA/edit?usp=sharing"",""แผน!AI81"")"),2)</f>
        <v>2</v>
      </c>
      <c r="J204" s="1012">
        <v>2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2</v>
      </c>
      <c r="J206" s="1012">
        <v>0</v>
      </c>
      <c r="K206" s="998">
        <f t="shared" ref="K206:K208" si="100">IF(I206&gt;0,J206*100/I206,0)</f>
        <v>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1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IFERROR(__xludf.DUMMYFUNCTION("IMPORTRANGE(""https://docs.google.com/spreadsheets/d/1QqKyyYR6Q21VydFLVH3TRQUabQu_ym0Zz7PgGX0-kHA/edit?usp=sharing"",""แผน!AK81"")"),0)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IFERROR(__xludf.DUMMYFUNCTION("IMPORTRANGE(""https://docs.google.com/spreadsheets/d/1QqKyyYR6Q21VydFLVH3TRQUabQu_ym0Zz7PgGX0-kHA/edit?usp=sharing"",""แผน!AL81"")"),0)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IFERROR(__xludf.DUMMYFUNCTION("IMPORTRANGE(""https://docs.google.com/spreadsheets/d/1QqKyyYR6Q21VydFLVH3TRQUabQu_ym0Zz7PgGX0-kHA/edit?usp=sharing"",""แผน!AM81"")"),0)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IFERROR(__xludf.DUMMYFUNCTION("IMPORTRANGE(""https://docs.google.com/spreadsheets/d/1QqKyyYR6Q21VydFLVH3TRQUabQu_ym0Zz7PgGX0-kHA/edit?usp=sharing"",""แผน!AN81"")"),0)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IFERROR(__xludf.DUMMYFUNCTION("IMPORTRANGE(""https://docs.google.com/spreadsheets/d/1QqKyyYR6Q21VydFLVH3TRQUabQu_ym0Zz7PgGX0-kHA/edit?usp=sharing"",""แผน!AN81"")"),0)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20000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8000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IFERROR(__xludf.DUMMYFUNCTION("IMPORTRANGE(""https://docs.google.com/spreadsheets/d/1QqKyyYR6Q21VydFLVH3TRQUabQu_ym0Zz7PgGX0-kHA/edit?usp=sharing"",""แผน!AP81"")"),3000)</f>
        <v>3000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IFERROR(__xludf.DUMMYFUNCTION("IMPORTRANGE(""https://docs.google.com/spreadsheets/d/1QqKyyYR6Q21VydFLVH3TRQUabQu_ym0Zz7PgGX0-kHA/edit?usp=sharing"",""แผน!AQ81"")"),5000)</f>
        <v>5000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IFERROR(__xludf.DUMMYFUNCTION("IMPORTRANGE(""https://docs.google.com/spreadsheets/d/1QqKyyYR6Q21VydFLVH3TRQUabQu_ym0Zz7PgGX0-kHA/edit?usp=sharing"",""แผน!AR81"")"),0)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IFERROR(__xludf.DUMMYFUNCTION("IMPORTRANGE(""https://docs.google.com/spreadsheets/d/1QqKyyYR6Q21VydFLVH3TRQUabQu_ym0Zz7PgGX0-kHA/edit?usp=sharing"",""แผน!AT81"")"),20000)</f>
        <v>20000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IFERROR(__xludf.DUMMYFUNCTION("IMPORTRANGE(""https://docs.google.com/spreadsheets/d/1QqKyyYR6Q21VydFLVH3TRQUabQu_ym0Zz7PgGX0-kHA/edit?usp=sharing"",""แผน!AT81"")"),20000)</f>
        <v>20000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IFERROR(__xludf.DUMMYFUNCTION("IMPORTRANGE(""https://docs.google.com/spreadsheets/d/1QqKyyYR6Q21VydFLVH3TRQUabQu_ym0Zz7PgGX0-kHA/edit?usp=sharing"",""แผน!AS81"")"),0)</f>
        <v>0</v>
      </c>
      <c r="J225" s="1012">
        <v>0</v>
      </c>
      <c r="K225" s="998">
        <f t="shared" ca="1" si="104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IFERROR(__xludf.DUMMYFUNCTION("IMPORTRANGE(""https://docs.google.com/spreadsheets/d/1QqKyyYR6Q21VydFLVH3TRQUabQu_ym0Zz7PgGX0-kHA/edit?usp=sharing"",""แผน!AV81"")"),0)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IFERROR(__xludf.DUMMYFUNCTION("IMPORTRANGE(""https://docs.google.com/spreadsheets/d/1QqKyyYR6Q21VydFLVH3TRQUabQu_ym0Zz7PgGX0-kHA/edit?usp=sharing"",""แผน!AW81"")"),0)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IFERROR(__xludf.DUMMYFUNCTION("IMPORTRANGE(""https://docs.google.com/spreadsheets/d/1QqKyyYR6Q21VydFLVH3TRQUabQu_ym0Zz7PgGX0-kHA/edit?usp=sharing"",""แผน!AX81"")"),0)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IFERROR(__xludf.DUMMYFUNCTION("IMPORTRANGE(""https://docs.google.com/spreadsheets/d/1QqKyyYR6Q21VydFLVH3TRQUabQu_ym0Zz7PgGX0-kHA/edit?usp=sharing"",""แผน!AY81"")"),0)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IFERROR(__xludf.DUMMYFUNCTION("IMPORTRANGE(""https://docs.google.com/spreadsheets/d/1QqKyyYR6Q21VydFLVH3TRQUabQu_ym0Zz7PgGX0-kHA/edit?usp=sharing"",""แผน!BE81"")"),0)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IFERROR(__xludf.DUMMYFUNCTION("IMPORTRANGE(""https://docs.google.com/spreadsheets/d/1QqKyyYR6Q21VydFLVH3TRQUabQu_ym0Zz7PgGX0-kHA/edit?usp=sharing"",""แผน!AZ81"")"),0)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IFERROR(__xludf.DUMMYFUNCTION("IMPORTRANGE(""https://docs.google.com/spreadsheets/d/1QqKyyYR6Q21VydFLVH3TRQUabQu_ym0Zz7PgGX0-kHA/edit?usp=sharing"",""แผน!BA81"")"),0)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IFERROR(__xludf.DUMMYFUNCTION("IMPORTRANGE(""https://docs.google.com/spreadsheets/d/1QqKyyYR6Q21VydFLVH3TRQUabQu_ym0Zz7PgGX0-kHA/edit?usp=sharing"",""แผน!BB81"")"),0)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IFERROR(__xludf.DUMMYFUNCTION("IMPORTRANGE(""https://docs.google.com/spreadsheets/d/1QqKyyYR6Q21VydFLVH3TRQUabQu_ym0Zz7PgGX0-kHA/edit?usp=sharing"",""แผน!BC81"")"),0)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IFERROR(__xludf.DUMMYFUNCTION("IMPORTRANGE(""https://docs.google.com/spreadsheets/d/1QqKyyYR6Q21VydFLVH3TRQUabQu_ym0Zz7PgGX0-kHA/edit?usp=sharing"",""แผน!BF81"")"),"")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22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26900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26900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26900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IFERROR(__xludf.DUMMYFUNCTION("IMPORTRANGE(""https://docs.google.com/spreadsheets/d/1MeEWN-I1oV_STSDYn1IFDPWt_1FKiwhDph83XaGc0o0/edit?usp=sharing"",""งบพรบ!CY81"")"),26900)</f>
        <v>26900</v>
      </c>
      <c r="M266" s="887">
        <f ca="1">IFERROR(__xludf.DUMMYFUNCTION("IMPORTRANGE(""https://docs.google.com/spreadsheets/d/1MeEWN-I1oV_STSDYn1IFDPWt_1FKiwhDph83XaGc0o0/edit?usp=sharing"",""งบพรบ!DD81"")"),0)</f>
        <v>0</v>
      </c>
      <c r="N266" s="887">
        <f ca="1">IFERROR(__xludf.DUMMYFUNCTION("IMPORTRANGE(""https://docs.google.com/spreadsheets/d/1MeEWN-I1oV_STSDYn1IFDPWt_1FKiwhDph83XaGc0o0/edit?usp=sharing"",""งบพรบ!DF81"")"),0)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IFERROR(__xludf.DUMMYFUNCTION("IMPORTRANGE(""https://docs.google.com/spreadsheets/d/1MeEWN-I1oV_STSDYn1IFDPWt_1FKiwhDph83XaGc0o0/edit?usp=sharing"",""งบพรบ!DB81"")"),0)</f>
        <v>0</v>
      </c>
      <c r="M269" s="887">
        <f ca="1">IFERROR(__xludf.DUMMYFUNCTION("IMPORTRANGE(""https://docs.google.com/spreadsheets/d/1MeEWN-I1oV_STSDYn1IFDPWt_1FKiwhDph83XaGc0o0/edit?usp=sharing"",""งบพรบ!DE81"")"),0)</f>
        <v>0</v>
      </c>
      <c r="N269" s="887">
        <f ca="1">IFERROR(__xludf.DUMMYFUNCTION("IMPORTRANGE(""https://docs.google.com/spreadsheets/d/1MeEWN-I1oV_STSDYn1IFDPWt_1FKiwhDph83XaGc0o0/edit?usp=sharing"",""งบพรบ!DG81"")"),0)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IFERROR(__xludf.DUMMYFUNCTION("IMPORTRANGE(""https://docs.google.com/spreadsheets/d/1QqKyyYR6Q21VydFLVH3TRQUabQu_ym0Zz7PgGX0-kHA/edit?usp=sharing"",""แผน!EA81"")"),22)</f>
        <v>22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IFERROR(__xludf.DUMMYFUNCTION("IMPORTRANGE(""https://docs.google.com/spreadsheets/d/1MeEWN-I1oV_STSDYn1IFDPWt_1FKiwhDph83XaGc0o0/edit?usp=sharing"",""งบพรบ!DI81"")"),0)</f>
        <v>0</v>
      </c>
      <c r="M282" s="887">
        <f ca="1">IFERROR(__xludf.DUMMYFUNCTION("IMPORTRANGE(""https://docs.google.com/spreadsheets/d/1MeEWN-I1oV_STSDYn1IFDPWt_1FKiwhDph83XaGc0o0/edit?usp=sharing"",""งบพรบ!DN81"")"),0)</f>
        <v>0</v>
      </c>
      <c r="N282" s="887">
        <f ca="1">IFERROR(__xludf.DUMMYFUNCTION("IMPORTRANGE(""https://docs.google.com/spreadsheets/d/1MeEWN-I1oV_STSDYn1IFDPWt_1FKiwhDph83XaGc0o0/edit?usp=sharing"",""งบพรบ!DP81"")"),0)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IFERROR(__xludf.DUMMYFUNCTION("IMPORTRANGE(""https://docs.google.com/spreadsheets/d/1MeEWN-I1oV_STSDYn1IFDPWt_1FKiwhDph83XaGc0o0/edit?usp=sharing"",""งบพรบ!DL81"")"),0)</f>
        <v>0</v>
      </c>
      <c r="M285" s="887">
        <f ca="1">IFERROR(__xludf.DUMMYFUNCTION("IMPORTRANGE(""https://docs.google.com/spreadsheets/d/1MeEWN-I1oV_STSDYn1IFDPWt_1FKiwhDph83XaGc0o0/edit?usp=sharing"",""งบพรบ!DO81"")"),0)</f>
        <v>0</v>
      </c>
      <c r="N285" s="887">
        <f ca="1">IFERROR(__xludf.DUMMYFUNCTION("IMPORTRANGE(""https://docs.google.com/spreadsheets/d/1MeEWN-I1oV_STSDYn1IFDPWt_1FKiwhDph83XaGc0o0/edit?usp=sharing"",""งบพรบ!DQ81"")"),0)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IFERROR(__xludf.DUMMYFUNCTION("IMPORTRANGE(""https://docs.google.com/spreadsheets/d/1QqKyyYR6Q21VydFLVH3TRQUabQu_ym0Zz7PgGX0-kHA/edit?usp=sharing"",""แผน!EC81"")"),0)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IFERROR(__xludf.DUMMYFUNCTION("IMPORTRANGE(""https://docs.google.com/spreadsheets/d/1QqKyyYR6Q21VydFLVH3TRQUabQu_ym0Zz7PgGX0-kHA/edit?usp=sharing"",""แผน!EB81"")"),0)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IFERROR(__xludf.DUMMYFUNCTION("IMPORTRANGE(""https://docs.google.com/spreadsheets/d/1QqKyyYR6Q21VydFLVH3TRQUabQu_ym0Zz7PgGX0-kHA/edit?usp=sharing"",""แผน!EB81"")"),0)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IFERROR(__xludf.DUMMYFUNCTION("IMPORTRANGE(""https://docs.google.com/spreadsheets/d/1QqKyyYR6Q21VydFLVH3TRQUabQu_ym0Zz7PgGX0-kHA/edit?usp=sharing"",""แผน!EB81"")"),0)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IFERROR(__xludf.DUMMYFUNCTION("IMPORTRANGE(""https://docs.google.com/spreadsheets/d/1QqKyyYR6Q21VydFLVH3TRQUabQu_ym0Zz7PgGX0-kHA/edit?usp=sharing"",""แผน!EB81"")"),0)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IFERROR(__xludf.DUMMYFUNCTION("IMPORTRANGE(""https://docs.google.com/spreadsheets/d/1QqKyyYR6Q21VydFLVH3TRQUabQu_ym0Zz7PgGX0-kHA/edit?usp=sharing"",""แผน!EB81"")"),0)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0</v>
      </c>
      <c r="J297" s="1190">
        <f t="shared" si="134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0</v>
      </c>
      <c r="M298" s="992">
        <f t="shared" ca="1" si="135"/>
        <v>0</v>
      </c>
      <c r="N298" s="992">
        <f t="shared" ca="1" si="135"/>
        <v>0</v>
      </c>
      <c r="O298" s="992">
        <f t="shared" ref="O298:O306" ca="1" si="136">IF(L298&gt;0,N298*100/L298,0)</f>
        <v>0</v>
      </c>
      <c r="P298" s="992">
        <f t="shared" ref="P298:P306" ca="1" si="137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0</v>
      </c>
      <c r="M300" s="887">
        <f t="shared" ca="1" si="138"/>
        <v>0</v>
      </c>
      <c r="N300" s="887">
        <f t="shared" ca="1" si="138"/>
        <v>0</v>
      </c>
      <c r="O300" s="887">
        <f t="shared" ca="1" si="136"/>
        <v>0</v>
      </c>
      <c r="P300" s="887">
        <f t="shared" ca="1" si="137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0</v>
      </c>
      <c r="M301" s="881">
        <f t="shared" ca="1" si="139"/>
        <v>0</v>
      </c>
      <c r="N301" s="881">
        <f t="shared" ca="1" si="139"/>
        <v>0</v>
      </c>
      <c r="O301" s="881">
        <f t="shared" ca="1" si="136"/>
        <v>0</v>
      </c>
      <c r="P301" s="881">
        <f t="shared" ca="1" si="137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IFERROR(__xludf.DUMMYFUNCTION("IMPORTRANGE(""https://docs.google.com/spreadsheets/d/1MeEWN-I1oV_STSDYn1IFDPWt_1FKiwhDph83XaGc0o0/edit?usp=sharing"",""งบพรบ!DS81"")"),0)</f>
        <v>0</v>
      </c>
      <c r="M303" s="887">
        <f ca="1">IFERROR(__xludf.DUMMYFUNCTION("IMPORTRANGE(""https://docs.google.com/spreadsheets/d/1MeEWN-I1oV_STSDYn1IFDPWt_1FKiwhDph83XaGc0o0/edit?usp=sharing"",""งบพรบ!DX81"")"),0)</f>
        <v>0</v>
      </c>
      <c r="N303" s="887">
        <f ca="1">IFERROR(__xludf.DUMMYFUNCTION("IMPORTRANGE(""https://docs.google.com/spreadsheets/d/1MeEWN-I1oV_STSDYn1IFDPWt_1FKiwhDph83XaGc0o0/edit?usp=sharing"",""งบพรบ!DZ81"")"),0)</f>
        <v>0</v>
      </c>
      <c r="O303" s="887">
        <f t="shared" ca="1" si="136"/>
        <v>0</v>
      </c>
      <c r="P303" s="887">
        <f t="shared" ca="1" si="137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IFERROR(__xludf.DUMMYFUNCTION("IMPORTRANGE(""https://docs.google.com/spreadsheets/d/1MeEWN-I1oV_STSDYn1IFDPWt_1FKiwhDph83XaGc0o0/edit?usp=sharing"",""งบพรบ!DV81"")"),0)</f>
        <v>0</v>
      </c>
      <c r="M306" s="887">
        <f ca="1">IFERROR(__xludf.DUMMYFUNCTION("IMPORTRANGE(""https://docs.google.com/spreadsheets/d/1MeEWN-I1oV_STSDYn1IFDPWt_1FKiwhDph83XaGc0o0/edit?usp=sharing"",""งบพรบ!DY81"")"),0)</f>
        <v>0</v>
      </c>
      <c r="N306" s="887">
        <f ca="1">IFERROR(__xludf.DUMMYFUNCTION("IMPORTRANGE(""https://docs.google.com/spreadsheets/d/1MeEWN-I1oV_STSDYn1IFDPWt_1FKiwhDph83XaGc0o0/edit?usp=sharing"",""งบพรบ!EA81"")"),0)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IFERROR(__xludf.DUMMYFUNCTION("IMPORTRANGE(""https://docs.google.com/spreadsheets/d/1QqKyyYR6Q21VydFLVH3TRQUabQu_ym0Zz7PgGX0-kHA/edit?usp=sharing"",""แผน!ED81"")"),0)</f>
        <v>0</v>
      </c>
      <c r="J309" s="1012">
        <v>0</v>
      </c>
      <c r="K309" s="881">
        <f t="shared" ref="K309:K312" ca="1" si="141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IFERROR(__xludf.DUMMYFUNCTION("IMPORTRANGE(""https://docs.google.com/spreadsheets/d/1QqKyyYR6Q21VydFLVH3TRQUabQu_ym0Zz7PgGX0-kHA/edit?usp=sharing"",""แผน!ED81"")"),0)</f>
        <v>0</v>
      </c>
      <c r="J310" s="1012">
        <v>0</v>
      </c>
      <c r="K310" s="881">
        <f t="shared" ca="1" si="141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IFERROR(__xludf.DUMMYFUNCTION("IMPORTRANGE(""https://docs.google.com/spreadsheets/d/1QqKyyYR6Q21VydFLVH3TRQUabQu_ym0Zz7PgGX0-kHA/edit?usp=sharing"",""แผน!ED81"")"),0)</f>
        <v>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IFERROR(__xludf.DUMMYFUNCTION("IMPORTRANGE(""https://docs.google.com/spreadsheets/d/1QqKyyYR6Q21VydFLVH3TRQUabQu_ym0Zz7PgGX0-kHA/edit?usp=sharing"",""แผน!EE81"")"),0)</f>
        <v>0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0</v>
      </c>
      <c r="J314" s="1190">
        <f t="shared" si="142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0</v>
      </c>
      <c r="M315" s="992">
        <f t="shared" ca="1" si="143"/>
        <v>0</v>
      </c>
      <c r="N315" s="992">
        <f t="shared" ca="1" si="143"/>
        <v>0</v>
      </c>
      <c r="O315" s="992">
        <f t="shared" ref="O315:O323" ca="1" si="144">IF(L315&gt;0,N315*100/L315,0)</f>
        <v>0</v>
      </c>
      <c r="P315" s="992">
        <f t="shared" ref="P315:P323" ca="1" si="145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0</v>
      </c>
      <c r="M317" s="887">
        <f t="shared" ca="1" si="146"/>
        <v>0</v>
      </c>
      <c r="N317" s="887">
        <f t="shared" ca="1" si="146"/>
        <v>0</v>
      </c>
      <c r="O317" s="887">
        <f t="shared" ca="1" si="144"/>
        <v>0</v>
      </c>
      <c r="P317" s="887">
        <f t="shared" ca="1" si="145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0</v>
      </c>
      <c r="M318" s="881">
        <f t="shared" ca="1" si="147"/>
        <v>0</v>
      </c>
      <c r="N318" s="881">
        <f t="shared" ca="1" si="147"/>
        <v>0</v>
      </c>
      <c r="O318" s="881">
        <f t="shared" ca="1" si="144"/>
        <v>0</v>
      </c>
      <c r="P318" s="881">
        <f t="shared" ca="1" si="145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IFERROR(__xludf.DUMMYFUNCTION("IMPORTRANGE(""https://docs.google.com/spreadsheets/d/1MeEWN-I1oV_STSDYn1IFDPWt_1FKiwhDph83XaGc0o0/edit?usp=sharing"",""งบพรบ!EC81"")"),0)</f>
        <v>0</v>
      </c>
      <c r="M320" s="887">
        <f ca="1">IFERROR(__xludf.DUMMYFUNCTION("IMPORTRANGE(""https://docs.google.com/spreadsheets/d/1MeEWN-I1oV_STSDYn1IFDPWt_1FKiwhDph83XaGc0o0/edit?usp=sharing"",""งบพรบ!EH81"")"),0)</f>
        <v>0</v>
      </c>
      <c r="N320" s="887">
        <f ca="1">IFERROR(__xludf.DUMMYFUNCTION("IMPORTRANGE(""https://docs.google.com/spreadsheets/d/1MeEWN-I1oV_STSDYn1IFDPWt_1FKiwhDph83XaGc0o0/edit?usp=sharing"",""งบพรบ!EJ81"")"),0)</f>
        <v>0</v>
      </c>
      <c r="O320" s="887">
        <f t="shared" ca="1" si="144"/>
        <v>0</v>
      </c>
      <c r="P320" s="887">
        <f t="shared" ca="1" si="145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IFERROR(__xludf.DUMMYFUNCTION("IMPORTRANGE(""https://docs.google.com/spreadsheets/d/1MeEWN-I1oV_STSDYn1IFDPWt_1FKiwhDph83XaGc0o0/edit?usp=sharing"",""งบพรบ!EF81"")"),0)</f>
        <v>0</v>
      </c>
      <c r="M323" s="887">
        <f ca="1">IFERROR(__xludf.DUMMYFUNCTION("IMPORTRANGE(""https://docs.google.com/spreadsheets/d/1MeEWN-I1oV_STSDYn1IFDPWt_1FKiwhDph83XaGc0o0/edit?usp=sharing"",""งบพรบ!EI81"")"),0)</f>
        <v>0</v>
      </c>
      <c r="N323" s="887">
        <f ca="1">IFERROR(__xludf.DUMMYFUNCTION("IMPORTRANGE(""https://docs.google.com/spreadsheets/d/1MeEWN-I1oV_STSDYn1IFDPWt_1FKiwhDph83XaGc0o0/edit?usp=sharing"",""งบพรบ!EK81"")"),0)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IFERROR(__xludf.DUMMYFUNCTION("IMPORTRANGE(""https://docs.google.com/spreadsheets/d/1QqKyyYR6Q21VydFLVH3TRQUabQu_ym0Zz7PgGX0-kHA/edit?usp=sharing"",""แผน!EF81"")"),0)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IFERROR(__xludf.DUMMYFUNCTION("IMPORTRANGE(""https://docs.google.com/spreadsheets/d/1QqKyyYR6Q21VydFLVH3TRQUabQu_ym0Zz7PgGX0-kHA/edit?usp=sharing"",""แผน!EG81"")"),800)</f>
        <v>800</v>
      </c>
      <c r="J327" s="1190">
        <f ca="1">J338+J341+J342+J343</f>
        <v>470</v>
      </c>
      <c r="K327" s="1191">
        <f ca="1">IF(I327&gt;0,J327*100/I327,0)</f>
        <v>58.75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163000</v>
      </c>
      <c r="M328" s="992">
        <f t="shared" ca="1" si="149"/>
        <v>124750</v>
      </c>
      <c r="N328" s="992">
        <f t="shared" ca="1" si="149"/>
        <v>61671.33</v>
      </c>
      <c r="O328" s="992">
        <f t="shared" ref="O328:O336" ca="1" si="150">IF(L328&gt;0,N328*100/L328,0)</f>
        <v>37.835171779141106</v>
      </c>
      <c r="P328" s="992">
        <f t="shared" ref="P328:P336" ca="1" si="151">IF(M328&gt;0,N328*100/M328,0)</f>
        <v>49.435935871743489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163000</v>
      </c>
      <c r="M330" s="887">
        <f t="shared" ca="1" si="152"/>
        <v>124750</v>
      </c>
      <c r="N330" s="887">
        <f t="shared" ca="1" si="152"/>
        <v>61671.33</v>
      </c>
      <c r="O330" s="887">
        <f t="shared" ca="1" si="150"/>
        <v>37.835171779141106</v>
      </c>
      <c r="P330" s="887">
        <f t="shared" ca="1" si="151"/>
        <v>49.435935871743489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163000</v>
      </c>
      <c r="M331" s="881">
        <f t="shared" ca="1" si="153"/>
        <v>124750</v>
      </c>
      <c r="N331" s="881">
        <f t="shared" ca="1" si="153"/>
        <v>61671.33</v>
      </c>
      <c r="O331" s="881">
        <f t="shared" ca="1" si="150"/>
        <v>37.835171779141106</v>
      </c>
      <c r="P331" s="881">
        <f t="shared" ca="1" si="151"/>
        <v>49.435935871743489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IFERROR(__xludf.DUMMYFUNCTION("IMPORTRANGE(""https://docs.google.com/spreadsheets/d/1MeEWN-I1oV_STSDYn1IFDPWt_1FKiwhDph83XaGc0o0/edit?usp=sharing"",""งบพรบ!EM81"")"),163000)</f>
        <v>163000</v>
      </c>
      <c r="M333" s="887">
        <f ca="1">IFERROR(__xludf.DUMMYFUNCTION("IMPORTRANGE(""https://docs.google.com/spreadsheets/d/1MeEWN-I1oV_STSDYn1IFDPWt_1FKiwhDph83XaGc0o0/edit?usp=sharing"",""งบพรบ!ER81"")"),124750)</f>
        <v>124750</v>
      </c>
      <c r="N333" s="887">
        <f ca="1">IFERROR(__xludf.DUMMYFUNCTION("IMPORTRANGE(""https://docs.google.com/spreadsheets/d/1MeEWN-I1oV_STSDYn1IFDPWt_1FKiwhDph83XaGc0o0/edit?usp=sharing"",""งบพรบ!ET81"")"),61671.33)</f>
        <v>61671.33</v>
      </c>
      <c r="O333" s="887">
        <f t="shared" ca="1" si="150"/>
        <v>37.835171779141106</v>
      </c>
      <c r="P333" s="887">
        <f t="shared" ca="1" si="151"/>
        <v>49.435935871743489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IFERROR(__xludf.DUMMYFUNCTION("IMPORTRANGE(""https://docs.google.com/spreadsheets/d/1MeEWN-I1oV_STSDYn1IFDPWt_1FKiwhDph83XaGc0o0/edit?usp=sharing"",""งบพรบ!EP81"")"),0)</f>
        <v>0</v>
      </c>
      <c r="M336" s="887">
        <f ca="1">IFERROR(__xludf.DUMMYFUNCTION("IMPORTRANGE(""https://docs.google.com/spreadsheets/d/1MeEWN-I1oV_STSDYn1IFDPWt_1FKiwhDph83XaGc0o0/edit?usp=sharing"",""งบพรบ!ES81"")"),0)</f>
        <v>0</v>
      </c>
      <c r="N336" s="887">
        <f ca="1">IFERROR(__xludf.DUMMYFUNCTION("IMPORTRANGE(""https://docs.google.com/spreadsheets/d/1MeEWN-I1oV_STSDYn1IFDPWt_1FKiwhDph83XaGc0o0/edit?usp=sharing"",""งบพรบ!EU81"")"),0)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IFERROR(__xludf.DUMMYFUNCTION("IMPORTRANGE(""https://docs.google.com/spreadsheets/d/1QqKyyYR6Q21VydFLVH3TRQUabQu_ym0Zz7PgGX0-kHA/edit?usp=sharing"",""แผน!EG81"")"),800)</f>
        <v>800</v>
      </c>
      <c r="J338" s="880">
        <f ca="1">IFERROR(__xludf.DUMMYFUNCTION("IMPORTRANGE(""https://docs.google.com/spreadsheets/d/1kVcqe37tkHyjCSG3S0O1AXqVkqjo8mSIZil3BcpIysc/edit?usp=sharing"",""ศูนย์!D81"")"),445)</f>
        <v>445</v>
      </c>
      <c r="K338" s="881">
        <f ca="1">IF(I338&gt;0,J338*100/I338,0)</f>
        <v>55.625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IFERROR(__xludf.DUMMYFUNCTION("IMPORTRANGE(""https://docs.google.com/spreadsheets/d/1QqKyyYR6Q21VydFLVH3TRQUabQu_ym0Zz7PgGX0-kHA/edit?usp=sharing"",""แผน!EH81"")"),5)</f>
        <v>5</v>
      </c>
      <c r="J340" s="880">
        <f ca="1">IFERROR(__xludf.DUMMYFUNCTION("IMPORTRANGE(""https://docs.google.com/spreadsheets/d/1kVcqe37tkHyjCSG3S0O1AXqVkqjo8mSIZil3BcpIysc/edit?usp=sharing"",""ศูนย์!E81"")"),4)</f>
        <v>4</v>
      </c>
      <c r="K340" s="881">
        <f ca="1">IF(I340&gt;0,J340*100/I340,0)</f>
        <v>80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IFERROR(__xludf.DUMMYFUNCTION("IMPORTRANGE(""https://docs.google.com/spreadsheets/d/1kVcqe37tkHyjCSG3S0O1AXqVkqjo8mSIZil3BcpIysc/edit?usp=sharing"",""ศูนย์!F81"")"),25)</f>
        <v>25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IFERROR(__xludf.DUMMYFUNCTION("IMPORTRANGE(""https://docs.google.com/spreadsheets/d/1kVcqe37tkHyjCSG3S0O1AXqVkqjo8mSIZil3BcpIysc/edit?usp=sharing"",""ศูนย์!G81"")"),0)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IFERROR(__xludf.DUMMYFUNCTION("IMPORTRANGE(""https://docs.google.com/spreadsheets/d/1kVcqe37tkHyjCSG3S0O1AXqVkqjo8mSIZil3BcpIysc/edit?usp=sharing"",""ศูนย์!H81"")"),0)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661560</v>
      </c>
      <c r="M345" s="992">
        <f t="shared" ca="1" si="155"/>
        <v>514175</v>
      </c>
      <c r="N345" s="992">
        <f t="shared" ca="1" si="155"/>
        <v>324266.2</v>
      </c>
      <c r="O345" s="992">
        <f t="shared" ref="O345:O353" ca="1" si="156">IF(L345&gt;0,N345*100/L345,0)</f>
        <v>49.015387871092571</v>
      </c>
      <c r="P345" s="992">
        <f t="shared" ref="P345:P353" ca="1" si="157">IF(M345&gt;0,N345*100/M345,0)</f>
        <v>63.065337676860992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661560</v>
      </c>
      <c r="M347" s="887">
        <f t="shared" ca="1" si="158"/>
        <v>514175</v>
      </c>
      <c r="N347" s="887">
        <f t="shared" ca="1" si="158"/>
        <v>324266.2</v>
      </c>
      <c r="O347" s="887">
        <f t="shared" ca="1" si="156"/>
        <v>49.015387871092571</v>
      </c>
      <c r="P347" s="887">
        <f t="shared" ca="1" si="157"/>
        <v>63.065337676860992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585560</v>
      </c>
      <c r="M348" s="881">
        <f t="shared" ca="1" si="159"/>
        <v>438375</v>
      </c>
      <c r="N348" s="881">
        <f t="shared" ca="1" si="159"/>
        <v>248466.2</v>
      </c>
      <c r="O348" s="881">
        <f t="shared" ca="1" si="156"/>
        <v>42.432235808456859</v>
      </c>
      <c r="P348" s="881">
        <f t="shared" ca="1" si="157"/>
        <v>56.678916452808672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IFERROR(__xludf.DUMMYFUNCTION("IMPORTRANGE(""https://docs.google.com/spreadsheets/d/1MeEWN-I1oV_STSDYn1IFDPWt_1FKiwhDph83XaGc0o0/edit?usp=sharing"",""งบพรบ!EW81"")"),585560)</f>
        <v>585560</v>
      </c>
      <c r="M350" s="887">
        <f ca="1">IFERROR(__xludf.DUMMYFUNCTION("IMPORTRANGE(""https://docs.google.com/spreadsheets/d/1MeEWN-I1oV_STSDYn1IFDPWt_1FKiwhDph83XaGc0o0/edit?usp=sharing"",""งบพรบ!FB81"")"),438375)</f>
        <v>438375</v>
      </c>
      <c r="N350" s="887">
        <f ca="1">IFERROR(__xludf.DUMMYFUNCTION("IMPORTRANGE(""https://docs.google.com/spreadsheets/d/1MeEWN-I1oV_STSDYn1IFDPWt_1FKiwhDph83XaGc0o0/edit?usp=sharing"",""งบพรบ!FD81"")"),248466.2)</f>
        <v>248466.2</v>
      </c>
      <c r="O350" s="887">
        <f t="shared" ca="1" si="156"/>
        <v>42.432235808456859</v>
      </c>
      <c r="P350" s="887">
        <f t="shared" ca="1" si="157"/>
        <v>56.678916452808672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76000</v>
      </c>
      <c r="M351" s="881">
        <f t="shared" ca="1" si="160"/>
        <v>75800</v>
      </c>
      <c r="N351" s="881">
        <f t="shared" ca="1" si="160"/>
        <v>75800</v>
      </c>
      <c r="O351" s="881">
        <f t="shared" ca="1" si="156"/>
        <v>99.736842105263165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IFERROR(__xludf.DUMMYFUNCTION("IMPORTRANGE(""https://docs.google.com/spreadsheets/d/1MeEWN-I1oV_STSDYn1IFDPWt_1FKiwhDph83XaGc0o0/edit?usp=sharing"",""งบพรบ!EZ81"")"),76000)</f>
        <v>76000</v>
      </c>
      <c r="M353" s="887">
        <f ca="1">IFERROR(__xludf.DUMMYFUNCTION("IMPORTRANGE(""https://docs.google.com/spreadsheets/d/1MeEWN-I1oV_STSDYn1IFDPWt_1FKiwhDph83XaGc0o0/edit?usp=sharing"",""งบพรบ!FC81"")"),75800)</f>
        <v>75800</v>
      </c>
      <c r="N353" s="887">
        <f ca="1">IFERROR(__xludf.DUMMYFUNCTION("IMPORTRANGE(""https://docs.google.com/spreadsheets/d/1MeEWN-I1oV_STSDYn1IFDPWt_1FKiwhDph83XaGc0o0/edit?usp=sharing"",""งบพรบ!FE81"")"),75800)</f>
        <v>75800</v>
      </c>
      <c r="O353" s="887">
        <f t="shared" ca="1" si="156"/>
        <v>99.736842105263165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IFERROR(__xludf.DUMMYFUNCTION("IMPORTRANGE(""https://docs.google.com/spreadsheets/d/1QqKyyYR6Q21VydFLVH3TRQUabQu_ym0Zz7PgGX0-kHA/edit?usp=sharing"",""แผน!EP81"")"),80)</f>
        <v>80</v>
      </c>
      <c r="J355" s="1206">
        <f>J362</f>
        <v>0</v>
      </c>
      <c r="K355" s="1207">
        <f ca="1">IF(I355&gt;0,J355*100/I355,0)</f>
        <v>0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IFERROR(__xludf.DUMMYFUNCTION("IMPORTRANGE(""https://docs.google.com/spreadsheets/d/1XWAQStnk-4SwqDmLtmXYiTMKHgktTP8We1SCoS47DrQ/edit?usp=sharing"",""จัดที่ดิน!W81"")"),2)</f>
        <v>2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IFERROR(__xludf.DUMMYFUNCTION("IMPORTRANGE(""https://docs.google.com/spreadsheets/d/1QqKyyYR6Q21VydFLVH3TRQUabQu_ym0Zz7PgGX0-kHA/edit?usp=sharing"",""แผน!EO81"")"),650)</f>
        <v>650</v>
      </c>
      <c r="J359" s="880">
        <v>0</v>
      </c>
      <c r="K359" s="881">
        <f t="shared" ca="1" si="161"/>
        <v>0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IFERROR(__xludf.DUMMYFUNCTION("IMPORTRANGE(""https://docs.google.com/spreadsheets/d/1QqKyyYR6Q21VydFLVH3TRQUabQu_ym0Zz7PgGX0-kHA/edit?usp=sharing"",""แผน!EP81"")"),80)</f>
        <v>80</v>
      </c>
      <c r="J360" s="880">
        <v>0</v>
      </c>
      <c r="K360" s="881">
        <f t="shared" ca="1" si="161"/>
        <v>0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IFERROR(__xludf.DUMMYFUNCTION("IMPORTRANGE(""https://docs.google.com/spreadsheets/d/1XWAQStnk-4SwqDmLtmXYiTMKHgktTP8We1SCoS47DrQ/edit?usp=sharing"",""จัดที่ดิน!Z81"")"),6.8)</f>
        <v>6.8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IFERROR(__xludf.DUMMYFUNCTION("IMPORTRANGE(""https://docs.google.com/spreadsheets/d/1QqKyyYR6Q21VydFLVH3TRQUabQu_ym0Zz7PgGX0-kHA/edit?usp=sharing"",""แผน!EP81"")"),80)</f>
        <v>80</v>
      </c>
      <c r="J362" s="880">
        <v>0</v>
      </c>
      <c r="K362" s="881">
        <f t="shared" ca="1" si="161"/>
        <v>0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IFERROR(__xludf.DUMMYFUNCTION("IMPORTRANGE(""https://docs.google.com/spreadsheets/d/1XWAQStnk-4SwqDmLtmXYiTMKHgktTP8We1SCoS47DrQ/edit?usp=sharing"",""จัดที่ดิน!AB81"")"),6.8)</f>
        <v>6.8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130</v>
      </c>
      <c r="J364" s="1219">
        <f t="shared" ca="1" si="162"/>
        <v>13</v>
      </c>
      <c r="K364" s="1220">
        <f t="shared" ca="1" si="161"/>
        <v>10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IFERROR(__xludf.DUMMYFUNCTION("IMPORTRANGE(""https://docs.google.com/spreadsheets/d/1QqKyyYR6Q21VydFLVH3TRQUabQu_ym0Zz7PgGX0-kHA/edit?usp=sharing"",""แผน!EJ81"")"),30)</f>
        <v>30</v>
      </c>
      <c r="J365" s="1227">
        <f ca="1">J372</f>
        <v>0</v>
      </c>
      <c r="K365" s="1228">
        <f t="shared" ca="1" si="161"/>
        <v>0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IFERROR(__xludf.DUMMYFUNCTION("IMPORTRANGE(""https://docs.google.com/spreadsheets/d/1XWAQStnk-4SwqDmLtmXYiTMKHgktTP8We1SCoS47DrQ/edit?usp=sharing"",""จัดที่ดิน!E81"")"),0)</f>
        <v>0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IFERROR(__xludf.DUMMYFUNCTION("IMPORTRANGE(""https://docs.google.com/spreadsheets/d/1QqKyyYR6Q21VydFLVH3TRQUabQu_ym0Zz7PgGX0-kHA/edit?usp=sharing"",""แผน!EI81"")"),200)</f>
        <v>200</v>
      </c>
      <c r="J369" s="880">
        <f ca="1">IFERROR(__xludf.DUMMYFUNCTION("IMPORTRANGE(""https://docs.google.com/spreadsheets/d/1XWAQStnk-4SwqDmLtmXYiTMKHgktTP8We1SCoS47DrQ/edit?usp=sharing"",""จัดที่ดิน!F81"")"),0)</f>
        <v>0</v>
      </c>
      <c r="K369" s="881">
        <f t="shared" ca="1" si="163"/>
        <v>0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IFERROR(__xludf.DUMMYFUNCTION("IMPORTRANGE(""https://docs.google.com/spreadsheets/d/1QqKyyYR6Q21VydFLVH3TRQUabQu_ym0Zz7PgGX0-kHA/edit?usp=sharing"",""แผน!EJ81"")"),30)</f>
        <v>30</v>
      </c>
      <c r="J370" s="880">
        <f ca="1">IFERROR(__xludf.DUMMYFUNCTION("IMPORTRANGE(""https://docs.google.com/spreadsheets/d/1XWAQStnk-4SwqDmLtmXYiTMKHgktTP8We1SCoS47DrQ/edit?usp=sharing"",""จัดที่ดิน!G81"")"),0)</f>
        <v>0</v>
      </c>
      <c r="K370" s="881">
        <f t="shared" ca="1" si="163"/>
        <v>0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IFERROR(__xludf.DUMMYFUNCTION("IMPORTRANGE(""https://docs.google.com/spreadsheets/d/1XWAQStnk-4SwqDmLtmXYiTMKHgktTP8We1SCoS47DrQ/edit?usp=sharing"",""จัดที่ดิน!H81"")"),0)</f>
        <v>0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IFERROR(__xludf.DUMMYFUNCTION("IMPORTRANGE(""https://docs.google.com/spreadsheets/d/1QqKyyYR6Q21VydFLVH3TRQUabQu_ym0Zz7PgGX0-kHA/edit?usp=sharing"",""แผน!EJ81"")"),30)</f>
        <v>30</v>
      </c>
      <c r="J372" s="880">
        <f ca="1">IFERROR(__xludf.DUMMYFUNCTION("IMPORTRANGE(""https://docs.google.com/spreadsheets/d/1XWAQStnk-4SwqDmLtmXYiTMKHgktTP8We1SCoS47DrQ/edit?usp=sharing"",""จัดที่ดิน!I81"")"),0)</f>
        <v>0</v>
      </c>
      <c r="K372" s="881">
        <f t="shared" ca="1" si="163"/>
        <v>0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IFERROR(__xludf.DUMMYFUNCTION("IMPORTRANGE(""https://docs.google.com/spreadsheets/d/1XWAQStnk-4SwqDmLtmXYiTMKHgktTP8We1SCoS47DrQ/edit?usp=sharing"",""จัดที่ดิน!J81"")"),0)</f>
        <v>0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IFERROR(__xludf.DUMMYFUNCTION("IMPORTRANGE(""https://docs.google.com/spreadsheets/d/1QqKyyYR6Q21VydFLVH3TRQUabQu_ym0Zz7PgGX0-kHA/edit?usp=sharing"",""แผน!EU81"")"),100)</f>
        <v>100</v>
      </c>
      <c r="J374" s="1227">
        <f ca="1">J381</f>
        <v>13</v>
      </c>
      <c r="K374" s="1228">
        <f t="shared" ca="1" si="163"/>
        <v>13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IFERROR(__xludf.DUMMYFUNCTION("IMPORTRANGE(""https://docs.google.com/spreadsheets/d/1XWAQStnk-4SwqDmLtmXYiTMKHgktTP8We1SCoS47DrQ/edit?usp=sharing"",""จัดที่ดิน!AH81"")"),2)</f>
        <v>2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IFERROR(__xludf.DUMMYFUNCTION("IMPORTRANGE(""https://docs.google.com/spreadsheets/d/1QqKyyYR6Q21VydFLVH3TRQUabQu_ym0Zz7PgGX0-kHA/edit?usp=sharing"",""แผน!ET81"")"),450)</f>
        <v>450</v>
      </c>
      <c r="J378" s="880">
        <f ca="1">IFERROR(__xludf.DUMMYFUNCTION("IMPORTRANGE(""https://docs.google.com/spreadsheets/d/1XWAQStnk-4SwqDmLtmXYiTMKHgktTP8We1SCoS47DrQ/edit?usp=sharing"",""จัดที่ดิน!AI81"")"),6.8)</f>
        <v>6.8</v>
      </c>
      <c r="K378" s="881">
        <f t="shared" ca="1" si="164"/>
        <v>1.5111111111111111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IFERROR(__xludf.DUMMYFUNCTION("IMPORTRANGE(""https://docs.google.com/spreadsheets/d/1QqKyyYR6Q21VydFLVH3TRQUabQu_ym0Zz7PgGX0-kHA/edit?usp=sharing"",""แผน!EU81"")"),100)</f>
        <v>100</v>
      </c>
      <c r="J379" s="880">
        <f ca="1">IFERROR(__xludf.DUMMYFUNCTION("IMPORTRANGE(""https://docs.google.com/spreadsheets/d/1XWAQStnk-4SwqDmLtmXYiTMKHgktTP8We1SCoS47DrQ/edit?usp=sharing"",""จัดที่ดิน!AJ81"")"),13)</f>
        <v>13</v>
      </c>
      <c r="K379" s="881">
        <f t="shared" ca="1" si="164"/>
        <v>13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IFERROR(__xludf.DUMMYFUNCTION("IMPORTRANGE(""https://docs.google.com/spreadsheets/d/1XWAQStnk-4SwqDmLtmXYiTMKHgktTP8We1SCoS47DrQ/edit?usp=sharing"",""จัดที่ดิน!AK81"")"),159.26)</f>
        <v>159.26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IFERROR(__xludf.DUMMYFUNCTION("IMPORTRANGE(""https://docs.google.com/spreadsheets/d/1QqKyyYR6Q21VydFLVH3TRQUabQu_ym0Zz7PgGX0-kHA/edit?usp=sharing"",""แผน!EU81"")"),100)</f>
        <v>100</v>
      </c>
      <c r="J381" s="880">
        <f ca="1">IFERROR(__xludf.DUMMYFUNCTION("IMPORTRANGE(""https://docs.google.com/spreadsheets/d/1XWAQStnk-4SwqDmLtmXYiTMKHgktTP8We1SCoS47DrQ/edit?usp=sharing"",""จัดที่ดิน!AL81"")"),13)</f>
        <v>13</v>
      </c>
      <c r="K381" s="881">
        <f t="shared" ca="1" si="164"/>
        <v>13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IFERROR(__xludf.DUMMYFUNCTION("IMPORTRANGE(""https://docs.google.com/spreadsheets/d/1XWAQStnk-4SwqDmLtmXYiTMKHgktTP8We1SCoS47DrQ/edit?usp=sharing"",""จัดที่ดิน!AM81"")"),159.26)</f>
        <v>159.26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IFERROR(__xludf.DUMMYFUNCTION("IMPORTRANGE(""https://docs.google.com/spreadsheets/d/1QqKyyYR6Q21VydFLVH3TRQUabQu_ym0Zz7PgGX0-kHA/edit?usp=sharing"",""แผน!EW81"")"),10)</f>
        <v>10</v>
      </c>
      <c r="J385" s="1138">
        <f ca="1">IFERROR(__xludf.DUMMYFUNCTION("IMPORTRANGE(""https://docs.google.com/spreadsheets/d/1XWAQStnk-4SwqDmLtmXYiTMKHgktTP8We1SCoS47DrQ/edit?usp=sharing"",""จัดที่ดิน!AP81"")"),0)</f>
        <v>0</v>
      </c>
      <c r="K385" s="1239">
        <f ca="1">IF(I385&gt;0,J385*100/I385,0)</f>
        <v>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IFERROR(__xludf.DUMMYFUNCTION("IMPORTRANGE(""https://docs.google.com/spreadsheets/d/1MeEWN-I1oV_STSDYn1IFDPWt_1FKiwhDph83XaGc0o0/edit?usp=sharing"",""งบพรบ!FG81"")"),0)</f>
        <v>0</v>
      </c>
      <c r="M394" s="887">
        <f ca="1">IFERROR(__xludf.DUMMYFUNCTION("IMPORTRANGE(""https://docs.google.com/spreadsheets/d/1MeEWN-I1oV_STSDYn1IFDPWt_1FKiwhDph83XaGc0o0/edit?usp=sharing"",""งบพรบ!FL81"")"),0)</f>
        <v>0</v>
      </c>
      <c r="N394" s="887">
        <f ca="1">IFERROR(__xludf.DUMMYFUNCTION("IMPORTRANGE(""https://docs.google.com/spreadsheets/d/1MeEWN-I1oV_STSDYn1IFDPWt_1FKiwhDph83XaGc0o0/edit?usp=sharing"",""งบพรบ!FN81"")"),0)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IFERROR(__xludf.DUMMYFUNCTION("IMPORTRANGE(""https://docs.google.com/spreadsheets/d/1MeEWN-I1oV_STSDYn1IFDPWt_1FKiwhDph83XaGc0o0/edit?usp=sharing"",""งบพรบ!FJ81"")"),0)</f>
        <v>0</v>
      </c>
      <c r="M397" s="887">
        <f ca="1">IFERROR(__xludf.DUMMYFUNCTION("IMPORTRANGE(""https://docs.google.com/spreadsheets/d/1MeEWN-I1oV_STSDYn1IFDPWt_1FKiwhDph83XaGc0o0/edit?usp=sharing"",""งบพรบ!FM81"")"),0)</f>
        <v>0</v>
      </c>
      <c r="N397" s="887">
        <f ca="1">IFERROR(__xludf.DUMMYFUNCTION("IMPORTRANGE(""https://docs.google.com/spreadsheets/d/1MeEWN-I1oV_STSDYn1IFDPWt_1FKiwhDph83XaGc0o0/edit?usp=sharing"",""งบพรบ!FO81"")"),0)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IFERROR(__xludf.DUMMYFUNCTION("IMPORTRANGE(""https://docs.google.com/spreadsheets/d/1MeEWN-I1oV_STSDYn1IFDPWt_1FKiwhDph83XaGc0o0/edit?usp=sharing"",""งบพรบ!FQ81"")"),0)</f>
        <v>0</v>
      </c>
      <c r="M407" s="887">
        <f ca="1">IFERROR(__xludf.DUMMYFUNCTION("IMPORTRANGE(""https://docs.google.com/spreadsheets/d/1MeEWN-I1oV_STSDYn1IFDPWt_1FKiwhDph83XaGc0o0/edit?usp=sharing"",""งบพรบ!FV81"")"),0)</f>
        <v>0</v>
      </c>
      <c r="N407" s="887">
        <f ca="1">IFERROR(__xludf.DUMMYFUNCTION("IMPORTRANGE(""https://docs.google.com/spreadsheets/d/1MeEWN-I1oV_STSDYn1IFDPWt_1FKiwhDph83XaGc0o0/edit?usp=sharing"",""งบพรบ!FX81"")"),0)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IFERROR(__xludf.DUMMYFUNCTION("IMPORTRANGE(""https://docs.google.com/spreadsheets/d/1MeEWN-I1oV_STSDYn1IFDPWt_1FKiwhDph83XaGc0o0/edit?usp=sharing"",""งบพรบ!FT81"")"),0)</f>
        <v>0</v>
      </c>
      <c r="M410" s="887">
        <f ca="1">IFERROR(__xludf.DUMMYFUNCTION("IMPORTRANGE(""https://docs.google.com/spreadsheets/d/1MeEWN-I1oV_STSDYn1IFDPWt_1FKiwhDph83XaGc0o0/edit?usp=sharing"",""งบพรบ!FW81"")"),0)</f>
        <v>0</v>
      </c>
      <c r="N410" s="887">
        <f ca="1">IFERROR(__xludf.DUMMYFUNCTION("IMPORTRANGE(""https://docs.google.com/spreadsheets/d/1MeEWN-I1oV_STSDYn1IFDPWt_1FKiwhDph83XaGc0o0/edit?usp=sharing"",""งบพรบ!FY81"")"),0)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734746</v>
      </c>
      <c r="M414" s="1281">
        <f t="shared" ca="1" si="181"/>
        <v>734746</v>
      </c>
      <c r="N414" s="1281">
        <f t="shared" si="181"/>
        <v>550611</v>
      </c>
      <c r="O414" s="1281">
        <f ca="1">IF(L414&gt;0,N414*100/L414,0)</f>
        <v>74.938958497222174</v>
      </c>
      <c r="P414" s="1281">
        <f ca="1">IF(M414&gt;0,N414*100/M414,0)</f>
        <v>74.938958497222174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20</v>
      </c>
      <c r="J417" s="1294">
        <f t="shared" ca="1" si="182"/>
        <v>20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78660</v>
      </c>
      <c r="M419" s="992">
        <f t="shared" ca="1" si="184"/>
        <v>78660</v>
      </c>
      <c r="N419" s="992">
        <f t="shared" si="184"/>
        <v>48115</v>
      </c>
      <c r="O419" s="992">
        <f t="shared" ref="O419:O424" ca="1" si="185">IF(L419&gt;0,N419*100/L419,0)</f>
        <v>61.168319349097381</v>
      </c>
      <c r="P419" s="992">
        <f t="shared" ref="P419:P424" ca="1" si="186">IF(M419&gt;0,N419*100/M419,0)</f>
        <v>61.168319349097381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78660</v>
      </c>
      <c r="M421" s="887">
        <f t="shared" ca="1" si="187"/>
        <v>78660</v>
      </c>
      <c r="N421" s="887">
        <f t="shared" si="187"/>
        <v>48115</v>
      </c>
      <c r="O421" s="887">
        <f t="shared" ca="1" si="185"/>
        <v>61.168319349097381</v>
      </c>
      <c r="P421" s="887">
        <f t="shared" ca="1" si="186"/>
        <v>61.168319349097381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78660</v>
      </c>
      <c r="M422" s="881">
        <f t="shared" ca="1" si="188"/>
        <v>78660</v>
      </c>
      <c r="N422" s="881">
        <f t="shared" si="188"/>
        <v>48115</v>
      </c>
      <c r="O422" s="881">
        <f t="shared" ca="1" si="185"/>
        <v>61.168319349097381</v>
      </c>
      <c r="P422" s="881">
        <f t="shared" ca="1" si="186"/>
        <v>61.168319349097381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IFERROR(__xludf.DUMMYFUNCTION("IMPORTRANGE(""https://docs.google.com/spreadsheets/d/1QqKyyYR6Q21VydFLVH3TRQUabQu_ym0Zz7PgGX0-kHA/edit?usp=sharing"",""แผน!EY81"")"),78660)</f>
        <v>78660</v>
      </c>
      <c r="M424" s="887">
        <f ca="1">L424</f>
        <v>78660</v>
      </c>
      <c r="N424" s="887">
        <f>N425+N426+N427+N428</f>
        <v>48115</v>
      </c>
      <c r="O424" s="887">
        <f t="shared" ca="1" si="185"/>
        <v>61.168319349097381</v>
      </c>
      <c r="P424" s="887">
        <f t="shared" ca="1" si="186"/>
        <v>61.168319349097381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26315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21800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IFERROR(__xludf.DUMMYFUNCTION("IMPORTRANGE(""https://docs.google.com/spreadsheets/d/1QqKyyYR6Q21VydFLVH3TRQUabQu_ym0Zz7PgGX0-kHA/edit?usp=sharing"",""แผน!FB81"")"),0)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20</v>
      </c>
      <c r="J433" s="1019">
        <f ca="1">IF(AND(J435=I435,J437=I437,J439=I439),I437+I439,IF(AND(J435=I437,J437=I437),I437,IF(AND(J435=I439,J439=I439),I439,0)))</f>
        <v>20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IFERROR(__xludf.DUMMYFUNCTION("IMPORTRANGE(""https://docs.google.com/spreadsheets/d/1QqKyyYR6Q21VydFLVH3TRQUabQu_ym0Zz7PgGX0-kHA/edit?usp=sharing"",""แผน!FC81"")"),20)</f>
        <v>20</v>
      </c>
      <c r="J435" s="583">
        <v>20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IFERROR(__xludf.DUMMYFUNCTION("IMPORTRANGE(""https://docs.google.com/spreadsheets/d/1QqKyyYR6Q21VydFLVH3TRQUabQu_ym0Zz7PgGX0-kHA/edit?usp=sharing"",""แผน!FD81"")"),0)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IFERROR(__xludf.DUMMYFUNCTION("IMPORTRANGE(""https://docs.google.com/spreadsheets/d/1QqKyyYR6Q21VydFLVH3TRQUabQu_ym0Zz7PgGX0-kHA/edit?usp=sharing"",""แผน!FE81"")"),0)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IFERROR(__xludf.DUMMYFUNCTION("IMPORTRANGE(""https://docs.google.com/spreadsheets/d/1QqKyyYR6Q21VydFLVH3TRQUabQu_ym0Zz7PgGX0-kHA/edit?usp=sharing"",""แผน!FF81"")"),20)</f>
        <v>20</v>
      </c>
      <c r="J439" s="583">
        <v>20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IFERROR(__xludf.DUMMYFUNCTION("IMPORTRANGE(""https://docs.google.com/spreadsheets/d/1QqKyyYR6Q21VydFLVH3TRQUabQu_ym0Zz7PgGX0-kHA/edit?usp=sharing"",""แผน!FG81"")"),1)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IFERROR(__xludf.DUMMYFUNCTION("IMPORTRANGE(""https://docs.google.com/spreadsheets/d/1QqKyyYR6Q21VydFLVH3TRQUabQu_ym0Zz7PgGX0-kHA/edit?usp=sharing"",""แผน!FH81"")"),0)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10</v>
      </c>
      <c r="J442" s="1310">
        <f t="shared" si="195"/>
        <v>10</v>
      </c>
      <c r="K442" s="1311">
        <f t="shared" ca="1" si="194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30</v>
      </c>
      <c r="J443" s="1294">
        <f t="shared" si="196"/>
        <v>30</v>
      </c>
      <c r="K443" s="1295">
        <f t="shared" ca="1" si="194"/>
        <v>100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77160</v>
      </c>
      <c r="M444" s="1020">
        <f t="shared" ca="1" si="197"/>
        <v>77160</v>
      </c>
      <c r="N444" s="1020">
        <f t="shared" si="197"/>
        <v>63190</v>
      </c>
      <c r="O444" s="1020">
        <f t="shared" ref="O444:O449" ca="1" si="198">IF(L444&gt;0,N444*100/L444,0)</f>
        <v>81.894764126490415</v>
      </c>
      <c r="P444" s="1020">
        <f t="shared" ref="P444:P449" ca="1" si="199">IF(M444&gt;0,N444*100/M444,0)</f>
        <v>81.894764126490415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77160</v>
      </c>
      <c r="M446" s="887">
        <f t="shared" ca="1" si="200"/>
        <v>77160</v>
      </c>
      <c r="N446" s="887">
        <f t="shared" si="200"/>
        <v>63190</v>
      </c>
      <c r="O446" s="887">
        <f t="shared" ca="1" si="198"/>
        <v>81.894764126490415</v>
      </c>
      <c r="P446" s="887">
        <f t="shared" ca="1" si="199"/>
        <v>81.894764126490415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77160</v>
      </c>
      <c r="M447" s="881">
        <f t="shared" ca="1" si="201"/>
        <v>77160</v>
      </c>
      <c r="N447" s="881">
        <f t="shared" si="201"/>
        <v>63190</v>
      </c>
      <c r="O447" s="881">
        <f t="shared" ca="1" si="198"/>
        <v>81.894764126490415</v>
      </c>
      <c r="P447" s="881">
        <f t="shared" ca="1" si="199"/>
        <v>81.894764126490415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IFERROR(__xludf.DUMMYFUNCTION("IMPORTRANGE(""https://docs.google.com/spreadsheets/d/1QqKyyYR6Q21VydFLVH3TRQUabQu_ym0Zz7PgGX0-kHA/edit?usp=sharing"",""แผน!FJ81"")"),77160)</f>
        <v>77160</v>
      </c>
      <c r="M449" s="887">
        <f ca="1">L449</f>
        <v>77160</v>
      </c>
      <c r="N449" s="887">
        <f>N450+N451+N452+N453</f>
        <v>63190</v>
      </c>
      <c r="O449" s="887">
        <f t="shared" ca="1" si="198"/>
        <v>81.894764126490415</v>
      </c>
      <c r="P449" s="887">
        <f t="shared" ca="1" si="199"/>
        <v>81.894764126490415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12880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34000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16310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IFERROR(__xludf.DUMMYFUNCTION("IMPORTRANGE(""https://docs.google.com/spreadsheets/d/1QqKyyYR6Q21VydFLVH3TRQUabQu_ym0Zz7PgGX0-kHA/edit?usp=sharing"",""แผน!FM81"")"),0)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IFERROR(__xludf.DUMMYFUNCTION("IMPORTRANGE(""https://docs.google.com/spreadsheets/d/1QqKyyYR6Q21VydFLVH3TRQUabQu_ym0Zz7PgGX0-kHA/edit?usp=sharing"",""แผน!FN81"")"),10)</f>
        <v>10</v>
      </c>
      <c r="J460" s="1012">
        <v>10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IFERROR(__xludf.DUMMYFUNCTION("IMPORTRANGE(""https://docs.google.com/spreadsheets/d/1QqKyyYR6Q21VydFLVH3TRQUabQu_ym0Zz7PgGX0-kHA/edit?usp=sharing"",""แผน!FO81"")"),30)</f>
        <v>30</v>
      </c>
      <c r="J462" s="1012">
        <v>30</v>
      </c>
      <c r="K462" s="881">
        <f ca="1">IF(I462&gt;0,J462*100/I462,0)</f>
        <v>100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IFERROR(__xludf.DUMMYFUNCTION("IMPORTRANGE(""https://docs.google.com/spreadsheets/d/1QqKyyYR6Q21VydFLVH3TRQUabQu_ym0Zz7PgGX0-kHA/edit?usp=sharing"",""แผน!FO81"")"),30)</f>
        <v>30</v>
      </c>
      <c r="J463" s="1012">
        <v>30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IFERROR(__xludf.DUMMYFUNCTION("IMPORTRANGE(""https://docs.google.com/spreadsheets/d/1QqKyyYR6Q21VydFLVH3TRQUabQu_ym0Zz7PgGX0-kHA/edit?usp=sharing"",""แผน!FN81"")"),10)</f>
        <v>10</v>
      </c>
      <c r="J464" s="1012">
        <v>10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IFERROR(__xludf.DUMMYFUNCTION("IMPORTRANGE(""https://docs.google.com/spreadsheets/d/1QqKyyYR6Q21VydFLVH3TRQUabQu_ym0Zz7PgGX0-kHA/edit?usp=sharing"",""แผน!FX81"")"),41)</f>
        <v>41</v>
      </c>
      <c r="J465" s="1310">
        <f>J485+J489+J492</f>
        <v>41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IFERROR(__xludf.DUMMYFUNCTION("IMPORTRANGE(""https://docs.google.com/spreadsheets/d/1QqKyyYR6Q21VydFLVH3TRQUabQu_ym0Zz7PgGX0-kHA/edit?usp=sharing"",""แผน!FW81"")"),400)</f>
        <v>400</v>
      </c>
      <c r="J466" s="1294">
        <f>J495+J498</f>
        <v>400</v>
      </c>
      <c r="K466" s="1295">
        <f t="shared" ca="1" si="205"/>
        <v>100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340483</v>
      </c>
      <c r="M467" s="1020">
        <f t="shared" ca="1" si="206"/>
        <v>340483</v>
      </c>
      <c r="N467" s="1020">
        <f t="shared" si="206"/>
        <v>330870</v>
      </c>
      <c r="O467" s="1020">
        <f t="shared" ref="O467:O472" ca="1" si="207">IF(L467&gt;0,N467*100/L467,0)</f>
        <v>97.176657865444085</v>
      </c>
      <c r="P467" s="1020">
        <f t="shared" ref="P467:P472" ca="1" si="208">IF(M467&gt;0,N467*100/M467,0)</f>
        <v>97.176657865444085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340483</v>
      </c>
      <c r="M469" s="887">
        <f t="shared" ca="1" si="209"/>
        <v>340483</v>
      </c>
      <c r="N469" s="887">
        <f t="shared" si="209"/>
        <v>330870</v>
      </c>
      <c r="O469" s="887">
        <f t="shared" ca="1" si="207"/>
        <v>97.176657865444085</v>
      </c>
      <c r="P469" s="887">
        <f t="shared" ca="1" si="208"/>
        <v>97.176657865444085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340483</v>
      </c>
      <c r="M470" s="881">
        <f t="shared" ca="1" si="210"/>
        <v>340483</v>
      </c>
      <c r="N470" s="881">
        <f t="shared" si="210"/>
        <v>330870</v>
      </c>
      <c r="O470" s="881">
        <f t="shared" ca="1" si="207"/>
        <v>97.176657865444085</v>
      </c>
      <c r="P470" s="881">
        <f t="shared" ca="1" si="208"/>
        <v>97.176657865444085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IFERROR(__xludf.DUMMYFUNCTION("IMPORTRANGE(""https://docs.google.com/spreadsheets/d/1QqKyyYR6Q21VydFLVH3TRQUabQu_ym0Zz7PgGX0-kHA/edit?usp=sharing"",""แผน!FS81"")"),340483)</f>
        <v>340483</v>
      </c>
      <c r="M472" s="887">
        <f ca="1">L472</f>
        <v>340483</v>
      </c>
      <c r="N472" s="887">
        <f>N473+N474+N475+N476</f>
        <v>330870</v>
      </c>
      <c r="O472" s="887">
        <f t="shared" ca="1" si="207"/>
        <v>97.176657865444085</v>
      </c>
      <c r="P472" s="887">
        <f t="shared" ca="1" si="208"/>
        <v>97.176657865444085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46503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248000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v>36367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IFERROR(__xludf.DUMMYFUNCTION("IMPORTRANGE(""https://docs.google.com/spreadsheets/d/1QqKyyYR6Q21VydFLVH3TRQUabQu_ym0Zz7PgGX0-kHA/edit?usp=sharing"",""แผน!FV81"")"),0)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IFERROR(__xludf.DUMMYFUNCTION("IMPORTRANGE(""https://docs.google.com/spreadsheets/d/1QqKyyYR6Q21VydFLVH3TRQUabQu_ym0Zz7PgGX0-kHA/edit?usp=sharing"",""แผน!FY81"")"),360)</f>
        <v>360</v>
      </c>
      <c r="J483" s="1012">
        <v>0</v>
      </c>
      <c r="K483" s="881">
        <f ca="1">IF(I483&gt;0,J483*100/I483,0)</f>
        <v>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0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IFERROR(__xludf.DUMMYFUNCTION("IMPORTRANGE(""https://docs.google.com/spreadsheets/d/1QqKyyYR6Q21VydFLVH3TRQUabQu_ym0Zz7PgGX0-kHA/edit?usp=sharing"",""แผน!FZ81"")"),36)</f>
        <v>36</v>
      </c>
      <c r="J485" s="1012">
        <v>36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IFERROR(__xludf.DUMMYFUNCTION("IMPORTRANGE(""https://docs.google.com/spreadsheets/d/1QqKyyYR6Q21VydFLVH3TRQUabQu_ym0Zz7PgGX0-kHA/edit?usp=sharing"",""แผน!GA81"")"),40)</f>
        <v>40</v>
      </c>
      <c r="J487" s="1012">
        <v>0</v>
      </c>
      <c r="K487" s="881">
        <f ca="1">IF(I487&gt;0,J487*100/I487,0)</f>
        <v>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0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IFERROR(__xludf.DUMMYFUNCTION("IMPORTRANGE(""https://docs.google.com/spreadsheets/d/1QqKyyYR6Q21VydFLVH3TRQUabQu_ym0Zz7PgGX0-kHA/edit?usp=sharing"",""แผน!GB81"")"),4)</f>
        <v>4</v>
      </c>
      <c r="J489" s="1012">
        <v>4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0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IFERROR(__xludf.DUMMYFUNCTION("IMPORTRANGE(""https://docs.google.com/spreadsheets/d/1QqKyyYR6Q21VydFLVH3TRQUabQu_ym0Zz7PgGX0-kHA/edit?usp=sharing"",""แผน!GC81"")"),1)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IFERROR(__xludf.DUMMYFUNCTION("IMPORTRANGE(""https://docs.google.com/spreadsheets/d/1QqKyyYR6Q21VydFLVH3TRQUabQu_ym0Zz7PgGX0-kHA/edit?usp=sharing"",""แผน!FY81"")"),360)</f>
        <v>360</v>
      </c>
      <c r="J495" s="1012">
        <v>360</v>
      </c>
      <c r="K495" s="881">
        <f ca="1">IF(I495&gt;0,J495*100/I495,0)</f>
        <v>100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IFERROR(__xludf.DUMMYFUNCTION("IMPORTRANGE(""https://docs.google.com/spreadsheets/d/1QqKyyYR6Q21VydFLVH3TRQUabQu_ym0Zz7PgGX0-kHA/edit?usp=sharing"",""แผน!GA81"")"),40)</f>
        <v>40</v>
      </c>
      <c r="J498" s="1012">
        <v>40</v>
      </c>
      <c r="K498" s="881">
        <f ca="1">IF(I498&gt;0,J498*100/I498,0)</f>
        <v>100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0</v>
      </c>
      <c r="J522" s="1377">
        <f t="shared" ca="1" si="225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0</v>
      </c>
      <c r="M523" s="1020">
        <f t="shared" si="226"/>
        <v>0</v>
      </c>
      <c r="N523" s="1020">
        <f t="shared" si="226"/>
        <v>0</v>
      </c>
      <c r="O523" s="1020">
        <f t="shared" ref="O523:O528" ca="1" si="227">IF(L523&gt;0,N523*100/L523,0)</f>
        <v>0</v>
      </c>
      <c r="P523" s="1020">
        <f t="shared" ref="P523:P528" si="228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0</v>
      </c>
      <c r="M525" s="887">
        <f t="shared" si="229"/>
        <v>0</v>
      </c>
      <c r="N525" s="887">
        <f t="shared" si="229"/>
        <v>0</v>
      </c>
      <c r="O525" s="887">
        <f t="shared" ca="1" si="227"/>
        <v>0</v>
      </c>
      <c r="P525" s="887">
        <f t="shared" si="228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0</v>
      </c>
      <c r="M526" s="881">
        <f t="shared" si="230"/>
        <v>0</v>
      </c>
      <c r="N526" s="881">
        <f t="shared" si="230"/>
        <v>0</v>
      </c>
      <c r="O526" s="881">
        <f t="shared" ca="1" si="227"/>
        <v>0</v>
      </c>
      <c r="P526" s="881">
        <f t="shared" si="228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IFERROR(__xludf.DUMMYFUNCTION("IMPORTRANGE(""https://docs.google.com/spreadsheets/d/1QqKyyYR6Q21VydFLVH3TRQUabQu_ym0Zz7PgGX0-kHA/edit?usp=sharing"",""แผน!GQ81"")"),0)</f>
        <v>0</v>
      </c>
      <c r="M528" s="887">
        <v>0</v>
      </c>
      <c r="N528" s="887">
        <f>N529+N530+N531+N532</f>
        <v>0</v>
      </c>
      <c r="O528" s="887">
        <f t="shared" ca="1" si="227"/>
        <v>0</v>
      </c>
      <c r="P528" s="887">
        <f t="shared" si="228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IFERROR(__xludf.DUMMYFUNCTION("IMPORTRANGE(""https://docs.google.com/spreadsheets/d/1QqKyyYR6Q21VydFLVH3TRQUabQu_ym0Zz7PgGX0-kHA/edit?usp=sharing"",""แผน!GT81"")"),0)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IFERROR(__xludf.DUMMYFUNCTION("IMPORTRANGE(""https://docs.google.com/spreadsheets/d/1QqKyyYR6Q21VydFLVH3TRQUabQu_ym0Zz7PgGX0-kHA/edit?usp=sharing"",""แผน!GU81"")"),0)</f>
        <v>0</v>
      </c>
      <c r="J537" s="1019">
        <f ca="1">IF(AND(J538=I538,J539=I539,J540=I540,J541=I541),I537,0)</f>
        <v>0</v>
      </c>
      <c r="K537" s="881">
        <f t="shared" ref="K537:K543" ca="1" si="234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IFERROR(__xludf.DUMMYFUNCTION("IMPORTRANGE(""https://docs.google.com/spreadsheets/d/1QqKyyYR6Q21VydFLVH3TRQUabQu_ym0Zz7PgGX0-kHA/edit?usp=sharing"",""แผน!GV81"")"),0)</f>
        <v>0</v>
      </c>
      <c r="J538" s="1012">
        <v>0</v>
      </c>
      <c r="K538" s="881">
        <f t="shared" ca="1" si="234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IFERROR(__xludf.DUMMYFUNCTION("IMPORTRANGE(""https://docs.google.com/spreadsheets/d/1QqKyyYR6Q21VydFLVH3TRQUabQu_ym0Zz7PgGX0-kHA/edit?usp=sharing"",""แผน!GW81"")"),0)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IFERROR(__xludf.DUMMYFUNCTION("IMPORTRANGE(""https://docs.google.com/spreadsheets/d/1QqKyyYR6Q21VydFLVH3TRQUabQu_ym0Zz7PgGX0-kHA/edit?usp=sharing"",""แผน!GX81"")"),0)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IFERROR(__xludf.DUMMYFUNCTION("IMPORTRANGE(""https://docs.google.com/spreadsheets/d/1QqKyyYR6Q21VydFLVH3TRQUabQu_ym0Zz7PgGX0-kHA/edit?usp=sharing"",""แผน!GY81"")"),0)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IFERROR(__xludf.DUMMYFUNCTION("IMPORTRANGE(""https://docs.google.com/spreadsheets/d/1QqKyyYR6Q21VydFLVH3TRQUabQu_ym0Zz7PgGX0-kHA/edit?usp=sharing"",""แผน!GZ81"")"),0)</f>
        <v>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2360</v>
      </c>
      <c r="J543" s="1384">
        <f t="shared" si="235"/>
        <v>2360</v>
      </c>
      <c r="K543" s="1385">
        <f t="shared" ca="1" si="234"/>
        <v>100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236443</v>
      </c>
      <c r="M544" s="992">
        <f t="shared" ca="1" si="236"/>
        <v>236443</v>
      </c>
      <c r="N544" s="992">
        <f t="shared" si="236"/>
        <v>108436</v>
      </c>
      <c r="O544" s="992">
        <f t="shared" ref="O544:O549" ca="1" si="237">IF(L544&gt;0,N544*100/L544,0)</f>
        <v>45.861370393710111</v>
      </c>
      <c r="P544" s="992">
        <f t="shared" ref="P544:P549" ca="1" si="238">IF(M544&gt;0,N544*100/M544,0)</f>
        <v>45.861370393710111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236443</v>
      </c>
      <c r="M546" s="887">
        <f t="shared" ca="1" si="240"/>
        <v>236443</v>
      </c>
      <c r="N546" s="887">
        <f t="shared" si="240"/>
        <v>108436</v>
      </c>
      <c r="O546" s="887">
        <f t="shared" ca="1" si="237"/>
        <v>45.861370393710111</v>
      </c>
      <c r="P546" s="887">
        <f t="shared" ca="1" si="238"/>
        <v>45.861370393710111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236443</v>
      </c>
      <c r="M547" s="881">
        <f t="shared" ca="1" si="241"/>
        <v>236443</v>
      </c>
      <c r="N547" s="881">
        <f t="shared" si="241"/>
        <v>108436</v>
      </c>
      <c r="O547" s="881">
        <f t="shared" ca="1" si="237"/>
        <v>45.861370393710111</v>
      </c>
      <c r="P547" s="881">
        <f t="shared" ca="1" si="238"/>
        <v>45.861370393710111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IFERROR(__xludf.DUMMYFUNCTION("IMPORTRANGE(""https://docs.google.com/spreadsheets/d/1QqKyyYR6Q21VydFLVH3TRQUabQu_ym0Zz7PgGX0-kHA/edit?usp=sharing"",""แผน!HB81"")"),236443)</f>
        <v>236443</v>
      </c>
      <c r="M549" s="887">
        <f ca="1">L549</f>
        <v>236443</v>
      </c>
      <c r="N549" s="887">
        <f>N550+N551+N552+N553+N554</f>
        <v>108436</v>
      </c>
      <c r="O549" s="887">
        <f t="shared" ca="1" si="237"/>
        <v>45.861370393710111</v>
      </c>
      <c r="P549" s="887">
        <f t="shared" ca="1" si="238"/>
        <v>45.861370393710111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63268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v>45168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IFERROR(__xludf.DUMMYFUNCTION("IMPORTRANGE(""https://docs.google.com/spreadsheets/d/1QqKyyYR6Q21VydFLVH3TRQUabQu_ym0Zz7PgGX0-kHA/edit?usp=sharing"",""แผน!HF81"")"),0)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2360</v>
      </c>
      <c r="J559" s="1377">
        <f t="shared" si="245"/>
        <v>2360</v>
      </c>
      <c r="K559" s="1378">
        <f t="shared" ref="K559:K561" ca="1" si="246">IF(I559&gt;0,J559*100/I559,0)</f>
        <v>100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IFERROR(__xludf.DUMMYFUNCTION("IMPORTRANGE(""https://docs.google.com/spreadsheets/d/1QqKyyYR6Q21VydFLVH3TRQUabQu_ym0Zz7PgGX0-kHA/edit?usp=sharing"",""แผน!HH81"")"),2360)</f>
        <v>2360</v>
      </c>
      <c r="J560" s="1018">
        <f t="shared" ref="J560:J561" si="247">J562+J564+J566</f>
        <v>2360</v>
      </c>
      <c r="K560" s="1162">
        <f t="shared" ca="1" si="246"/>
        <v>100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IFERROR(__xludf.DUMMYFUNCTION("IMPORTRANGE(""https://docs.google.com/spreadsheets/d/1QqKyyYR6Q21VydFLVH3TRQUabQu_ym0Zz7PgGX0-kHA/edit?usp=sharing"",""แผน!HG81"")"),339)</f>
        <v>339</v>
      </c>
      <c r="J561" s="1018">
        <f t="shared" si="247"/>
        <v>339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2089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276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199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53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72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10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IFERROR(__xludf.DUMMYFUNCTION("IMPORTRANGE(""https://docs.google.com/spreadsheets/d/1QqKyyYR6Q21VydFLVH3TRQUabQu_ym0Zz7PgGX0-kHA/edit?usp=sharing"",""แผน!HH81"")"),2360)</f>
        <v>2360</v>
      </c>
      <c r="J568" s="1019">
        <f t="shared" ref="J568:J569" si="248">J570+J572+J574</f>
        <v>2360</v>
      </c>
      <c r="K568" s="1162">
        <f t="shared" ref="K568:K569" ca="1" si="249">IF(I568&gt;0,J568*100/I568,0)</f>
        <v>100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IFERROR(__xludf.DUMMYFUNCTION("IMPORTRANGE(""https://docs.google.com/spreadsheets/d/1QqKyyYR6Q21VydFLVH3TRQUabQu_ym0Zz7PgGX0-kHA/edit?usp=sharing"",""แผน!HG81"")"),339)</f>
        <v>339</v>
      </c>
      <c r="J569" s="1019">
        <f t="shared" si="248"/>
        <v>339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2103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278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185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51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72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10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IFERROR(__xludf.DUMMYFUNCTION("IMPORTRANGE(""https://docs.google.com/spreadsheets/d/1QqKyyYR6Q21VydFLVH3TRQUabQu_ym0Zz7PgGX0-kHA/edit?usp=sharing"",""แผน!HH81"")"),2360)</f>
        <v>2360</v>
      </c>
      <c r="J576" s="1019">
        <f t="shared" ref="J576:J577" si="250">J578+J580+J582+J588+J590</f>
        <v>2360</v>
      </c>
      <c r="K576" s="1162">
        <f t="shared" ref="K576:K577" ca="1" si="251">IF(I576&gt;0,J576*100/I576,0)</f>
        <v>100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IFERROR(__xludf.DUMMYFUNCTION("IMPORTRANGE(""https://docs.google.com/spreadsheets/d/1QqKyyYR6Q21VydFLVH3TRQUabQu_ym0Zz7PgGX0-kHA/edit?usp=sharing"",""แผน!HG81"")"),339)</f>
        <v>339</v>
      </c>
      <c r="J577" s="1019">
        <f t="shared" si="250"/>
        <v>339</v>
      </c>
      <c r="K577" s="1162">
        <f t="shared" ca="1" si="251"/>
        <v>100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2096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278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191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51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73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10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73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10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217.49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IFERROR(__xludf.DUMMYFUNCTION("IMPORTRANGE(""https://docs.google.com/spreadsheets/d/1QqKyyYR6Q21VydFLVH3TRQUabQu_ym0Zz7PgGX0-kHA/edit?usp=sharing"",""แผน!HJ81"")"),217.49)</f>
        <v>217.49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IFERROR(__xludf.DUMMYFUNCTION("IMPORTRANGE(""https://docs.google.com/spreadsheets/d/1QqKyyYR6Q21VydFLVH3TRQUabQu_ym0Zz7PgGX0-kHA/edit?usp=sharing"",""แผน!HI81"")"),29)</f>
        <v>29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IFERROR(__xludf.DUMMYFUNCTION("IMPORTRANGE(""https://docs.google.com/spreadsheets/d/1QqKyyYR6Q21VydFLVH3TRQUabQu_ym0Zz7PgGX0-kHA/edit?usp=sharing"",""แผน!HL81"")"),10)</f>
        <v>10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IFERROR(__xludf.DUMMYFUNCTION("IMPORTRANGE(""https://docs.google.com/spreadsheets/d/1QqKyyYR6Q21VydFLVH3TRQUabQu_ym0Zz7PgGX0-kHA/edit?usp=sharing"",""แผน!HK81"")"),1)</f>
        <v>1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 hidden="1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 hidden="1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0</v>
      </c>
      <c r="M629" s="1020">
        <f t="shared" si="263"/>
        <v>0</v>
      </c>
      <c r="N629" s="1020">
        <f t="shared" si="263"/>
        <v>0</v>
      </c>
      <c r="O629" s="1020">
        <f t="shared" ref="O629:O634" ca="1" si="264">IF(L629&gt;0,N629*100/L629,0)</f>
        <v>0</v>
      </c>
      <c r="P629" s="1020">
        <f t="shared" ref="P629:P634" si="265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0</v>
      </c>
      <c r="M631" s="887">
        <f t="shared" si="266"/>
        <v>0</v>
      </c>
      <c r="N631" s="887">
        <f t="shared" si="266"/>
        <v>0</v>
      </c>
      <c r="O631" s="887">
        <f t="shared" ca="1" si="264"/>
        <v>0</v>
      </c>
      <c r="P631" s="887">
        <f t="shared" si="265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 hidden="1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0</v>
      </c>
      <c r="M632" s="881">
        <f t="shared" si="267"/>
        <v>0</v>
      </c>
      <c r="N632" s="881">
        <f t="shared" si="267"/>
        <v>0</v>
      </c>
      <c r="O632" s="881">
        <f t="shared" ca="1" si="264"/>
        <v>0</v>
      </c>
      <c r="P632" s="881">
        <f t="shared" si="265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IFERROR(__xludf.DUMMYFUNCTION("IMPORTRANGE(""https://docs.google.com/spreadsheets/d/1QqKyyYR6Q21VydFLVH3TRQUabQu_ym0Zz7PgGX0-kHA/edit?usp=sharing"",""แผน!HN81"")"),0)</f>
        <v>0</v>
      </c>
      <c r="M634" s="887">
        <v>0</v>
      </c>
      <c r="N634" s="887">
        <f>N635+N636+N637+N638</f>
        <v>0</v>
      </c>
      <c r="O634" s="887">
        <f t="shared" ca="1" si="264"/>
        <v>0</v>
      </c>
      <c r="P634" s="887">
        <f t="shared" si="265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 hidden="1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 hidden="1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 hidden="1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 hidden="1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 hidden="1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IFERROR(__xludf.DUMMYFUNCTION("IMPORTRANGE(""https://docs.google.com/spreadsheets/d/1QqKyyYR6Q21VydFLVH3TRQUabQu_ym0Zz7PgGX0-kHA/edit?usp=sharing"",""แผน!HQ81"")"),0)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 hidden="1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 hidden="1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IFERROR(__xludf.DUMMYFUNCTION("IMPORTRANGE(""https://docs.google.com/spreadsheets/d/1QqKyyYR6Q21VydFLVH3TRQUabQu_ym0Zz7PgGX0-kHA/edit?usp=sharing"",""แผน!HR81"")"),0)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 hidden="1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IFERROR(__xludf.DUMMYFUNCTION("IMPORTRANGE(""https://docs.google.com/spreadsheets/d/1QqKyyYR6Q21VydFLVH3TRQUabQu_ym0Zz7PgGX0-kHA/edit?usp=sharing"",""แผน!HR81"")"),0)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 hidden="1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IFERROR(__xludf.DUMMYFUNCTION("IMPORTRANGE(""https://docs.google.com/spreadsheets/d/1XWAQStnk-4SwqDmLtmXYiTMKHgktTP8We1SCoS47DrQ/edit?usp=sharing"",""จัดที่ดิน!AS81"")"),0)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 hidden="1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IFERROR(__xludf.DUMMYFUNCTION("IMPORTRANGE(""https://docs.google.com/spreadsheets/d/1XWAQStnk-4SwqDmLtmXYiTMKHgktTP8We1SCoS47DrQ/edit?usp=sharing"",""จัดที่ดิน!AT81"")"),0)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 hidden="1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IFERROR(__xludf.DUMMYFUNCTION("IMPORTRANGE(""https://docs.google.com/spreadsheets/d/1QqKyyYR6Q21VydFLVH3TRQUabQu_ym0Zz7PgGX0-kHA/edit?usp=sharing"",""แผน!HS81"")"),0)</f>
        <v>0</v>
      </c>
      <c r="J647" s="880">
        <f ca="1">IFERROR(__xludf.DUMMYFUNCTION("IMPORTRANGE(""https://docs.google.com/spreadsheets/d/1XWAQStnk-4SwqDmLtmXYiTMKHgktTP8We1SCoS47DrQ/edit?usp=sharing"",""จัดที่ดิน!AU81"")"),0)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 hidden="1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IFERROR(__xludf.DUMMYFUNCTION("IMPORTRANGE(""https://docs.google.com/spreadsheets/d/1XWAQStnk-4SwqDmLtmXYiTMKHgktTP8We1SCoS47DrQ/edit?usp=sharing"",""จัดที่ดิน!AV81"")"),0)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 hidden="1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IFERROR(__xludf.DUMMYFUNCTION("IMPORTRANGE(""https://docs.google.com/spreadsheets/d/1QqKyyYR6Q21VydFLVH3TRQUabQu_ym0Zz7PgGX0-kHA/edit?usp=sharing"",""แผน!HS81"")"),0)</f>
        <v>0</v>
      </c>
      <c r="J649" s="880">
        <f ca="1">IFERROR(__xludf.DUMMYFUNCTION("IMPORTRANGE(""https://docs.google.com/spreadsheets/d/1XWAQStnk-4SwqDmLtmXYiTMKHgktTP8We1SCoS47DrQ/edit?usp=sharing"",""จัดที่ดิน!AW81"")"),0)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 hidden="1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IFERROR(__xludf.DUMMYFUNCTION("IMPORTRANGE(""https://docs.google.com/spreadsheets/d/1XWAQStnk-4SwqDmLtmXYiTMKHgktTP8We1SCoS47DrQ/edit?usp=sharing"",""จัดที่ดิน!AX81"")"),0)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 hidden="1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IFERROR(__xludf.DUMMYFUNCTION("IMPORTRANGE(""https://docs.google.com/spreadsheets/d/1QqKyyYR6Q21VydFLVH3TRQUabQu_ym0Zz7PgGX0-kHA/edit?usp=sharing"",""แผน!HS81"")"),0)</f>
        <v>0</v>
      </c>
      <c r="J651" s="880">
        <f ca="1">IFERROR(__xludf.DUMMYFUNCTION("IMPORTRANGE(""https://docs.google.com/spreadsheets/d/1XWAQStnk-4SwqDmLtmXYiTMKHgktTP8We1SCoS47DrQ/edit?usp=sharing"",""จัดที่ดิน!AY81"")"),0)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 hidden="1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IFERROR(__xludf.DUMMYFUNCTION("IMPORTRANGE(""https://docs.google.com/spreadsheets/d/1XWAQStnk-4SwqDmLtmXYiTMKHgktTP8We1SCoS47DrQ/edit?usp=sharing"",""จัดที่ดิน!AZ81"")"),0)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0</v>
      </c>
      <c r="M655" s="1020">
        <f t="shared" si="273"/>
        <v>0</v>
      </c>
      <c r="N655" s="1020">
        <f t="shared" si="273"/>
        <v>0</v>
      </c>
      <c r="O655" s="1020">
        <f t="shared" ref="O655:O660" ca="1" si="274">IF(L655&gt;0,N655*100/L655,0)</f>
        <v>0</v>
      </c>
      <c r="P655" s="1020">
        <f t="shared" ref="P655:P660" si="275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0</v>
      </c>
      <c r="M657" s="887">
        <f t="shared" si="276"/>
        <v>0</v>
      </c>
      <c r="N657" s="887">
        <f t="shared" si="276"/>
        <v>0</v>
      </c>
      <c r="O657" s="887">
        <f t="shared" ca="1" si="274"/>
        <v>0</v>
      </c>
      <c r="P657" s="887">
        <f t="shared" si="275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0</v>
      </c>
      <c r="M658" s="881">
        <f t="shared" si="277"/>
        <v>0</v>
      </c>
      <c r="N658" s="881">
        <f t="shared" si="277"/>
        <v>0</v>
      </c>
      <c r="O658" s="881">
        <f t="shared" ca="1" si="274"/>
        <v>0</v>
      </c>
      <c r="P658" s="881">
        <f t="shared" si="275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IFERROR(__xludf.DUMMYFUNCTION("IMPORTRANGE(""https://docs.google.com/spreadsheets/d/1QqKyyYR6Q21VydFLVH3TRQUabQu_ym0Zz7PgGX0-kHA/edit?usp=sharing"",""แผน!HV81"")"),0)</f>
        <v>0</v>
      </c>
      <c r="M660" s="887">
        <v>0</v>
      </c>
      <c r="N660" s="887">
        <f>N661+N662+N663+N664</f>
        <v>0</v>
      </c>
      <c r="O660" s="887">
        <f t="shared" ca="1" si="274"/>
        <v>0</v>
      </c>
      <c r="P660" s="887">
        <f t="shared" si="275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IFERROR(__xludf.DUMMYFUNCTION("IMPORTRANGE(""https://docs.google.com/spreadsheets/d/1QqKyyYR6Q21VydFLVH3TRQUabQu_ym0Zz7PgGX0-kHA/edit?usp=sharing"",""แผน!IA81"")"),0)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IFERROR(__xludf.DUMMYFUNCTION("IMPORTRANGE(""https://docs.google.com/spreadsheets/d/1QqKyyYR6Q21VydFLVH3TRQUabQu_ym0Zz7PgGX0-kHA/edit?usp=sharing"",""แผน!HZ81"")"),0)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IFERROR(__xludf.DUMMYFUNCTION("IMPORTRANGE(""https://docs.google.com/spreadsheets/d/1QqKyyYR6Q21VydFLVH3TRQUabQu_ym0Zz7PgGX0-kHA/edit?usp=sharing"",""แผน!HZ81"")"),0)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IFERROR(__xludf.DUMMYFUNCTION("IMPORTRANGE(""https://docs.google.com/spreadsheets/d/1QqKyyYR6Q21VydFLVH3TRQUabQu_ym0Zz7PgGX0-kHA/edit?usp=sharing"",""แผน!IB81"")"),0)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2000</v>
      </c>
      <c r="M685" s="1020">
        <f t="shared" ca="1" si="282"/>
        <v>2000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ca="1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2000</v>
      </c>
      <c r="M687" s="887">
        <f t="shared" ca="1" si="285"/>
        <v>2000</v>
      </c>
      <c r="N687" s="887">
        <f t="shared" si="285"/>
        <v>0</v>
      </c>
      <c r="O687" s="887">
        <f t="shared" ca="1" si="283"/>
        <v>0</v>
      </c>
      <c r="P687" s="887">
        <f t="shared" ca="1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2000</v>
      </c>
      <c r="M688" s="881">
        <f t="shared" ca="1" si="286"/>
        <v>2000</v>
      </c>
      <c r="N688" s="881">
        <f t="shared" si="286"/>
        <v>0</v>
      </c>
      <c r="O688" s="881">
        <f t="shared" ca="1" si="283"/>
        <v>0</v>
      </c>
      <c r="P688" s="881">
        <f t="shared" ca="1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IFERROR(__xludf.DUMMYFUNCTION("IMPORTRANGE(""https://docs.google.com/spreadsheets/d/1QqKyyYR6Q21VydFLVH3TRQUabQu_ym0Zz7PgGX0-kHA/edit?usp=sharing"",""แผน!HW81"")"),2000)</f>
        <v>2000</v>
      </c>
      <c r="M690" s="887">
        <f ca="1">L690</f>
        <v>2000</v>
      </c>
      <c r="N690" s="887">
        <f>N691+N692+N693+N694</f>
        <v>0</v>
      </c>
      <c r="O690" s="887">
        <f ca="1">IF(L690&gt;0,N690*100/L690,0)</f>
        <v>0</v>
      </c>
      <c r="P690" s="887">
        <f ca="1"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IFERROR(__xludf.DUMMYFUNCTION("IMPORTRANGE(""https://docs.google.com/spreadsheets/d/1QqKyyYR6Q21VydFLVH3TRQUabQu_ym0Zz7PgGX0-kHA/edit?usp=sharing"",""แผน!IC81"")"),0)</f>
        <v>0</v>
      </c>
      <c r="J699" s="880">
        <f ca="1">IFERROR(__xludf.DUMMYFUNCTION("IMPORTRANGE(""https://docs.google.com/spreadsheets/d/1XWAQStnk-4SwqDmLtmXYiTMKHgktTP8We1SCoS47DrQ/edit?usp=sharing"",""จัดที่ดิน!BB81"")"),0)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IFERROR(__xludf.DUMMYFUNCTION("IMPORTRANGE(""https://docs.google.com/spreadsheets/d/1QqKyyYR6Q21VydFLVH3TRQUabQu_ym0Zz7PgGX0-kHA/edit?usp=sharing"",""แผน!ID81"")"),0)</f>
        <v>0</v>
      </c>
      <c r="J700" s="880">
        <f ca="1">IFERROR(__xludf.DUMMYFUNCTION("IMPORTRANGE(""https://docs.google.com/spreadsheets/d/1XWAQStnk-4SwqDmLtmXYiTMKHgktTP8We1SCoS47DrQ/edit?usp=sharing"",""จัดที่ดิน!BD81"")"),0)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IFERROR(__xludf.DUMMYFUNCTION("IMPORTRANGE(""https://docs.google.com/spreadsheets/d/1QqKyyYR6Q21VydFLVH3TRQUabQu_ym0Zz7PgGX0-kHA/edit?usp=sharing"",""แผน!IE81"")"),50)</f>
        <v>50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IFERROR(__xludf.DUMMYFUNCTION("IMPORTRANGE(""https://docs.google.com/spreadsheets/d/1QqKyyYR6Q21VydFLVH3TRQUabQu_ym0Zz7PgGX0-kHA/edit?usp=sharing"",""แผน!IF81"")"),0)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IFERROR(__xludf.DUMMYFUNCTION("IMPORTRANGE(""https://docs.google.com/spreadsheets/d/1QqKyyYR6Q21VydFLVH3TRQUabQu_ym0Zz7PgGX0-kHA/edit?usp=sharing"",""แผน!IG81"")"),50)</f>
        <v>50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IFERROR(__xludf.DUMMYFUNCTION("IMPORTRANGE(""https://docs.google.com/spreadsheets/d/1QqKyyYR6Q21VydFLVH3TRQUabQu_ym0Zz7PgGX0-kHA/edit?usp=sharing"",""แผน!IH81"")"),0)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IFERROR(__xludf.DUMMYFUNCTION("IMPORTRANGE(""https://docs.google.com/spreadsheets/d/1XWAQStnk-4SwqDmLtmXYiTMKHgktTP8We1SCoS47DrQ/edit?usp=sharing"",""จัดที่ดิน!BF81"")"),0)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IFERROR(__xludf.DUMMYFUNCTION("IMPORTRANGE(""https://docs.google.com/spreadsheets/d/1XWAQStnk-4SwqDmLtmXYiTMKHgktTP8We1SCoS47DrQ/edit?usp=sharing"",""จัดที่ดิน!BG81"")"),0)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IFERROR(__xludf.DUMMYFUNCTION("IMPORTRANGE(""https://docs.google.com/spreadsheets/d/1QqKyyYR6Q21VydFLVH3TRQUabQu_ym0Zz7PgGX0-kHA/edit?usp=sharing"",""แผน!II81"")"),0)</f>
        <v>0</v>
      </c>
      <c r="J720" s="880">
        <f ca="1">IFERROR(__xludf.DUMMYFUNCTION("IMPORTRANGE(""https://docs.google.com/spreadsheets/d/1XWAQStnk-4SwqDmLtmXYiTMKHgktTP8We1SCoS47DrQ/edit?usp=sharing"",""จัดที่ดิน!BH81"")"),0)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IFERROR(__xludf.DUMMYFUNCTION("IMPORTRANGE(""https://docs.google.com/spreadsheets/d/1QqKyyYR6Q21VydFLVH3TRQUabQu_ym0Zz7PgGX0-kHA/edit?usp=sharing"",""แผน!IJ81"")"),0)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IFERROR(__xludf.DUMMYFUNCTION("IMPORTRANGE(""https://docs.google.com/spreadsheets/d/1QqKyyYR6Q21VydFLVH3TRQUabQu_ym0Zz7PgGX0-kHA/edit?usp=sharing"",""แผน!IK81"")"),0)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IFERROR(__xludf.DUMMYFUNCTION("IMPORTRANGE(""https://docs.google.com/spreadsheets/d/1QqKyyYR6Q21VydFLVH3TRQUabQu_ym0Zz7PgGX0-kHA/edit?usp=sharing"",""แผน!IL81"")"),0)</f>
        <v>0</v>
      </c>
      <c r="J723" s="880">
        <f ca="1">IFERROR(__xludf.DUMMYFUNCTION("IMPORTRANGE(""https://docs.google.com/spreadsheets/d/1XWAQStnk-4SwqDmLtmXYiTMKHgktTP8We1SCoS47DrQ/edit?usp=sharing"",""จัดที่ดิน!BM81"")"),0)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IFERROR(__xludf.DUMMYFUNCTION("IMPORTRANGE(""https://docs.google.com/spreadsheets/d/1XWAQStnk-4SwqDmLtmXYiTMKHgktTP8We1SCoS47DrQ/edit?usp=sharing"",""จัดที่ดิน!BN81"")"),0)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IFERROR(__xludf.DUMMYFUNCTION("IMPORTRANGE(""https://docs.google.com/spreadsheets/d/1QqKyyYR6Q21VydFLVH3TRQUabQu_ym0Zz7PgGX0-kHA/edit?usp=sharing"",""แผน!IM81"")"),0)</f>
        <v>0</v>
      </c>
      <c r="J725" s="880">
        <f ca="1">IFERROR(__xludf.DUMMYFUNCTION("IMPORTRANGE(""https://docs.google.com/spreadsheets/d/1XWAQStnk-4SwqDmLtmXYiTMKHgktTP8We1SCoS47DrQ/edit?usp=sharing"",""จัดที่ดิน!BO81"")"),0)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IFERROR(__xludf.DUMMYFUNCTION("IMPORTRANGE(""https://docs.google.com/spreadsheets/d/1QqKyyYR6Q21VydFLVH3TRQUabQu_ym0Zz7PgGX0-kHA/edit?usp=sharing"",""แผน!IN81"")"),0)</f>
        <v>0</v>
      </c>
      <c r="J726" s="880">
        <f ca="1">IFERROR(__xludf.DUMMYFUNCTION("IMPORTRANGE(""https://docs.google.com/spreadsheets/d/1XWAQStnk-4SwqDmLtmXYiTMKHgktTP8We1SCoS47DrQ/edit?usp=sharing"",""จัดที่ดิน!BR81"")"),0)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IFERROR(__xludf.DUMMYFUNCTION("IMPORTRANGE(""https://docs.google.com/spreadsheets/d/1XWAQStnk-4SwqDmLtmXYiTMKHgktTP8We1SCoS47DrQ/edit?usp=sharing"",""จัดที่ดิน!BS81"")"),0)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IFERROR(__xludf.DUMMYFUNCTION("IMPORTRANGE(""https://docs.google.com/spreadsheets/d/1QqKyyYR6Q21VydFLVH3TRQUabQu_ym0Zz7PgGX0-kHA/edit?usp=sharing"",""แผน!IO81"")"),0)</f>
        <v>0</v>
      </c>
      <c r="J728" s="880">
        <f ca="1">IFERROR(__xludf.DUMMYFUNCTION("IMPORTRANGE(""https://docs.google.com/spreadsheets/d/1XWAQStnk-4SwqDmLtmXYiTMKHgktTP8We1SCoS47DrQ/edit?usp=sharing"",""จัดที่ดิน!BT81"")"),0)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IFERROR(__xludf.DUMMYFUNCTION("IMPORTRANGE(""https://docs.google.com/spreadsheets/d/1QqKyyYR6Q21VydFLVH3TRQUabQu_ym0Zz7PgGX0-kHA/edit?usp=sharing"",""แผน!IP81"")"),0)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IFERROR(__xludf.DUMMYFUNCTION("IMPORTRANGE(""https://docs.google.com/spreadsheets/d/1QqKyyYR6Q21VydFLVH3TRQUabQu_ym0Zz7PgGX0-kHA/edit?usp=sharing"",""แผน!JJ81"")"),0)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IFERROR(__xludf.DUMMYFUNCTION("IMPORTRANGE(""https://docs.google.com/spreadsheets/d/1QqKyyYR6Q21VydFLVH3TRQUabQu_ym0Zz7PgGX0-kHA/edit?usp=sharing"",""แผน!JN81"")"),0)</f>
        <v>0</v>
      </c>
      <c r="J800" s="997">
        <f ca="1">IFERROR(__xludf.DUMMYFUNCTION("IMPORTRANGE(""https://docs.google.com/spreadsheets/d/1MaWodYyGHDf7siQLGxnXhG4mBNTNIuy296niS2xXulU/edit?usp=sharing"",""RTK!H81"")"),0)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IFERROR(__xludf.DUMMYFUNCTION("IMPORTRANGE(""https://docs.google.com/spreadsheets/d/1MaWodYyGHDf7siQLGxnXhG4mBNTNIuy296niS2xXulU/edit?usp=sharing"",""RTK!I81"")"),0)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>
        <v>0</v>
      </c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>
        <v>0</v>
      </c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343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880">
        <f ca="1">IFERROR(__xludf.DUMMYFUNCTION("IMPORTRANGE(""https://docs.google.com/spreadsheets/d/19vJNZY_5yjcGF2XGBMNZRCAIB0Kwfpjp8YEOfu-bneM/edit?usp=sharing"",""งานกองทุน!F81"")"),738248.9)</f>
        <v>738248.9</v>
      </c>
      <c r="K821" s="881">
        <f t="shared" ref="K821:K828" ca="1" si="335">IF(I821&gt;0,J821*100/I821,0)</f>
        <v>59.544123862544225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IFERROR(__xludf.DUMMYFUNCTION("IMPORTRANGE(""https://docs.google.com/spreadsheets/d/19vJNZY_5yjcGF2XGBMNZRCAIB0Kwfpjp8YEOfu-bneM/edit?usp=sharing"",""งานกองทุน!C81"")"),93)</f>
        <v>93</v>
      </c>
      <c r="J822" s="880">
        <f ca="1">IFERROR(__xludf.DUMMYFUNCTION("IMPORTRANGE(""https://docs.google.com/spreadsheets/d/19vJNZY_5yjcGF2XGBMNZRCAIB0Kwfpjp8YEOfu-bneM/edit?usp=sharing"",""งานกองทุน!E81"")"),57)</f>
        <v>57</v>
      </c>
      <c r="K822" s="881">
        <f t="shared" ca="1" si="335"/>
        <v>61.29032258064516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880">
        <f ca="1">IFERROR(__xludf.DUMMYFUNCTION("IMPORTRANGE(""https://docs.google.com/spreadsheets/d/19vJNZY_5yjcGF2XGBMNZRCAIB0Kwfpjp8YEOfu-bneM/edit?usp=sharing"",""งานกองทุน!K81"")"),53914.97)</f>
        <v>53914.97</v>
      </c>
      <c r="K823" s="881">
        <f t="shared" ca="1" si="335"/>
        <v>20.485099119590494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IFERROR(__xludf.DUMMYFUNCTION("IMPORTRANGE(""https://docs.google.com/spreadsheets/d/19vJNZY_5yjcGF2XGBMNZRCAIB0Kwfpjp8YEOfu-bneM/edit?usp=sharing"",""งานกองทุน!H81"")"),11)</f>
        <v>11</v>
      </c>
      <c r="J824" s="880">
        <f ca="1">IFERROR(__xludf.DUMMYFUNCTION("IMPORTRANGE(""https://docs.google.com/spreadsheets/d/19vJNZY_5yjcGF2XGBMNZRCAIB0Kwfpjp8YEOfu-bneM/edit?usp=sharing"",""งานกองทุน!J81"")"),6)</f>
        <v>6</v>
      </c>
      <c r="K824" s="881">
        <f t="shared" ca="1" si="335"/>
        <v>54.545454545454547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IFERROR(__xludf.DUMMYFUNCTION("IMPORTRANGE(""https://docs.google.com/spreadsheets/d/19vJNZY_5yjcGF2XGBMNZRCAIB0Kwfpjp8YEOfu-bneM/edit?usp=sharing"",""งานกองทุน!N81"")"),29366.44)</f>
        <v>29366.44</v>
      </c>
      <c r="J825" s="880">
        <f ca="1">IFERROR(__xludf.DUMMYFUNCTION("IMPORTRANGE(""https://docs.google.com/spreadsheets/d/19vJNZY_5yjcGF2XGBMNZRCAIB0Kwfpjp8YEOfu-bneM/edit?usp=sharing"",""งานกองทุน!P81"")"),6496.81)</f>
        <v>6496.81</v>
      </c>
      <c r="K825" s="881">
        <f t="shared" ca="1" si="335"/>
        <v>22.123246808261403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IFERROR(__xludf.DUMMYFUNCTION("IMPORTRANGE(""https://docs.google.com/spreadsheets/d/19vJNZY_5yjcGF2XGBMNZRCAIB0Kwfpjp8YEOfu-bneM/edit?usp=sharing"",""งานกองทุน!M81"")"),51)</f>
        <v>51</v>
      </c>
      <c r="J826" s="880">
        <f ca="1">IFERROR(__xludf.DUMMYFUNCTION("IMPORTRANGE(""https://docs.google.com/spreadsheets/d/19vJNZY_5yjcGF2XGBMNZRCAIB0Kwfpjp8YEOfu-bneM/edit?usp=sharing"",""งานกองทุน!O81"")"),9)</f>
        <v>9</v>
      </c>
      <c r="K826" s="881">
        <f t="shared" ca="1" si="335"/>
        <v>17.647058823529413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IFERROR(__xludf.DUMMYFUNCTION("IMPORTRANGE(""https://docs.google.com/spreadsheets/d/19vJNZY_5yjcGF2XGBMNZRCAIB0Kwfpjp8YEOfu-bneM/edit?usp=sharing"",""งานกองทุน!S81"")"),700000)</f>
        <v>700000</v>
      </c>
      <c r="J827" s="880">
        <f ca="1">IFERROR(__xludf.DUMMYFUNCTION("IMPORTRANGE(""https://docs.google.com/spreadsheets/d/19vJNZY_5yjcGF2XGBMNZRCAIB0Kwfpjp8YEOfu-bneM/edit?usp=sharing"",""งานกองทุน!U81"")"),600000)</f>
        <v>600000</v>
      </c>
      <c r="K827" s="881">
        <f t="shared" ca="1" si="335"/>
        <v>85.714285714285708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IFERROR(__xludf.DUMMYFUNCTION("IMPORTRANGE(""https://docs.google.com/spreadsheets/d/19vJNZY_5yjcGF2XGBMNZRCAIB0Kwfpjp8YEOfu-bneM/edit?usp=sharing"",""งานกองทุน!R81"")"),28)</f>
        <v>28</v>
      </c>
      <c r="J828" s="1138">
        <f ca="1">IFERROR(__xludf.DUMMYFUNCTION("IMPORTRANGE(""https://docs.google.com/spreadsheets/d/19vJNZY_5yjcGF2XGBMNZRCAIB0Kwfpjp8YEOfu-bneM/edit?usp=sharing"",""งานกองทุน!T81"")"),15)</f>
        <v>15</v>
      </c>
      <c r="K828" s="1239">
        <f t="shared" ca="1" si="335"/>
        <v>53.571428571428569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5F2-BC60-4A3A-A787-448B08A625F1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10" width="16.14062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346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4673138</v>
      </c>
      <c r="M8" s="867">
        <f t="shared" ca="1" si="0"/>
        <v>4139378</v>
      </c>
      <c r="N8" s="867">
        <f t="shared" ca="1" si="0"/>
        <v>2569935.71</v>
      </c>
      <c r="O8" s="867">
        <f t="shared" ref="O8:O16" ca="1" si="1">IF(L8&gt;0,N8*100/L8,0)</f>
        <v>54.993790254000629</v>
      </c>
      <c r="P8" s="867">
        <f t="shared" ref="P8:P16" ca="1" si="2">IF(M8&gt;0,N8*100/M8,0)</f>
        <v>62.085069544264861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4673138</v>
      </c>
      <c r="M10" s="874">
        <f t="shared" ca="1" si="3"/>
        <v>4139378</v>
      </c>
      <c r="N10" s="874">
        <f t="shared" ca="1" si="3"/>
        <v>2569935.71</v>
      </c>
      <c r="O10" s="874">
        <f t="shared" ca="1" si="1"/>
        <v>54.993790254000629</v>
      </c>
      <c r="P10" s="874">
        <f t="shared" ca="1" si="2"/>
        <v>62.085069544264861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4319138</v>
      </c>
      <c r="M11" s="881">
        <f t="shared" ca="1" si="4"/>
        <v>3785378</v>
      </c>
      <c r="N11" s="881">
        <f t="shared" ca="1" si="4"/>
        <v>2215935.71</v>
      </c>
      <c r="O11" s="881">
        <f t="shared" ca="1" si="1"/>
        <v>51.305045358587755</v>
      </c>
      <c r="P11" s="881">
        <f t="shared" ca="1" si="2"/>
        <v>58.539350891773559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4319138</v>
      </c>
      <c r="M13" s="887">
        <f t="shared" ca="1" si="5"/>
        <v>3785378</v>
      </c>
      <c r="N13" s="887">
        <f t="shared" ca="1" si="5"/>
        <v>2215935.71</v>
      </c>
      <c r="O13" s="887">
        <f t="shared" ca="1" si="1"/>
        <v>51.305045358587755</v>
      </c>
      <c r="P13" s="887">
        <f t="shared" ca="1" si="2"/>
        <v>58.539350891773559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354000</v>
      </c>
      <c r="M14" s="881">
        <f t="shared" ca="1" si="6"/>
        <v>354000</v>
      </c>
      <c r="N14" s="881">
        <f t="shared" ca="1" si="6"/>
        <v>354000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354000</v>
      </c>
      <c r="M16" s="893">
        <f t="shared" ca="1" si="7"/>
        <v>354000</v>
      </c>
      <c r="N16" s="893">
        <f t="shared" ca="1" si="7"/>
        <v>354000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3400530</v>
      </c>
      <c r="M18" s="867">
        <f t="shared" ca="1" si="8"/>
        <v>2866770</v>
      </c>
      <c r="N18" s="867">
        <f t="shared" ca="1" si="8"/>
        <v>1951673.59</v>
      </c>
      <c r="O18" s="867">
        <f t="shared" ref="O18:O26" ca="1" si="9">IF(L18&gt;0,N18*100/L18,0)</f>
        <v>57.393217821927756</v>
      </c>
      <c r="P18" s="867">
        <f t="shared" ref="P18:P26" ca="1" si="10">IF(M18&gt;0,N18*100/M18,0)</f>
        <v>68.079182843409129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3400530</v>
      </c>
      <c r="M20" s="874">
        <f t="shared" ca="1" si="11"/>
        <v>2866770</v>
      </c>
      <c r="N20" s="874">
        <f t="shared" ca="1" si="11"/>
        <v>1951673.59</v>
      </c>
      <c r="O20" s="874">
        <f t="shared" ca="1" si="9"/>
        <v>57.393217821927756</v>
      </c>
      <c r="P20" s="874">
        <f t="shared" ca="1" si="10"/>
        <v>68.079182843409129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3046530</v>
      </c>
      <c r="M21" s="881">
        <f t="shared" ca="1" si="12"/>
        <v>2512770</v>
      </c>
      <c r="N21" s="881">
        <f t="shared" ca="1" si="12"/>
        <v>1597673.59</v>
      </c>
      <c r="O21" s="881">
        <f t="shared" ca="1" si="9"/>
        <v>52.442404637407151</v>
      </c>
      <c r="P21" s="881">
        <f t="shared" ca="1" si="10"/>
        <v>63.582165896600166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3046530</v>
      </c>
      <c r="M23" s="887">
        <f t="shared" ca="1" si="13"/>
        <v>2512770</v>
      </c>
      <c r="N23" s="887">
        <f t="shared" ca="1" si="13"/>
        <v>1597673.59</v>
      </c>
      <c r="O23" s="887">
        <f t="shared" ca="1" si="9"/>
        <v>52.442404637407151</v>
      </c>
      <c r="P23" s="887">
        <f t="shared" ca="1" si="10"/>
        <v>63.582165896600166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354000</v>
      </c>
      <c r="M24" s="881">
        <f t="shared" ca="1" si="14"/>
        <v>354000</v>
      </c>
      <c r="N24" s="881">
        <f t="shared" ca="1" si="14"/>
        <v>354000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354000</v>
      </c>
      <c r="M26" s="893">
        <f t="shared" ca="1" si="15"/>
        <v>354000</v>
      </c>
      <c r="N26" s="893">
        <f t="shared" ca="1" si="15"/>
        <v>354000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1272608</v>
      </c>
      <c r="M28" s="867">
        <f t="shared" ca="1" si="16"/>
        <v>1272608</v>
      </c>
      <c r="N28" s="867">
        <f t="shared" si="16"/>
        <v>618262.12</v>
      </c>
      <c r="O28" s="867">
        <f t="shared" ref="O28:O37" ca="1" si="17">IF(L28&gt;0,N28*100/L28,0)</f>
        <v>48.582290854685809</v>
      </c>
      <c r="P28" s="867">
        <f t="shared" ref="P28:P37" ca="1" si="18">IF(M28&gt;0,N28*100/M28,0)</f>
        <v>48.582290854685809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1272608</v>
      </c>
      <c r="M30" s="874">
        <f t="shared" ca="1" si="19"/>
        <v>1272608</v>
      </c>
      <c r="N30" s="874">
        <f t="shared" si="19"/>
        <v>618262.12</v>
      </c>
      <c r="O30" s="874">
        <f t="shared" ca="1" si="17"/>
        <v>48.582290854685809</v>
      </c>
      <c r="P30" s="874">
        <f t="shared" ca="1" si="18"/>
        <v>48.582290854685809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1272608</v>
      </c>
      <c r="M31" s="881">
        <f t="shared" ca="1" si="20"/>
        <v>1272608</v>
      </c>
      <c r="N31" s="881">
        <f t="shared" si="20"/>
        <v>618262.12</v>
      </c>
      <c r="O31" s="881">
        <f t="shared" ca="1" si="17"/>
        <v>48.582290854685809</v>
      </c>
      <c r="P31" s="881">
        <f t="shared" ca="1" si="18"/>
        <v>48.582290854685809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1272608</v>
      </c>
      <c r="M33" s="887">
        <f t="shared" ca="1" si="21"/>
        <v>1272608</v>
      </c>
      <c r="N33" s="887">
        <f t="shared" si="21"/>
        <v>618262.12</v>
      </c>
      <c r="O33" s="887">
        <f t="shared" ca="1" si="17"/>
        <v>48.582290854685809</v>
      </c>
      <c r="P33" s="887">
        <f t="shared" ca="1" si="18"/>
        <v>48.582290854685809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3400530</v>
      </c>
      <c r="M37" s="900">
        <f t="shared" ca="1" si="24"/>
        <v>2866770</v>
      </c>
      <c r="N37" s="900">
        <f t="shared" ca="1" si="24"/>
        <v>1951673.59</v>
      </c>
      <c r="O37" s="900">
        <f t="shared" ca="1" si="17"/>
        <v>57.393217821927756</v>
      </c>
      <c r="P37" s="900">
        <f t="shared" ca="1" si="18"/>
        <v>68.079182843409129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560900</v>
      </c>
      <c r="M41" s="926">
        <f t="shared" ca="1" si="25"/>
        <v>570860</v>
      </c>
      <c r="N41" s="926">
        <f t="shared" ca="1" si="25"/>
        <v>251698.75</v>
      </c>
      <c r="O41" s="926">
        <f t="shared" ref="O41:O49" ca="1" si="26">IF(L41&gt;0,N41*100/L41,0)</f>
        <v>44.874086289891245</v>
      </c>
      <c r="P41" s="926">
        <f t="shared" ref="P41:P49" ca="1" si="27">IF(M41&gt;0,N41*100/M41,0)</f>
        <v>44.091151946186457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560900</v>
      </c>
      <c r="M43" s="932">
        <f t="shared" ca="1" si="28"/>
        <v>570860</v>
      </c>
      <c r="N43" s="932">
        <f t="shared" ca="1" si="28"/>
        <v>251698.75</v>
      </c>
      <c r="O43" s="932">
        <f t="shared" ca="1" si="26"/>
        <v>44.874086289891245</v>
      </c>
      <c r="P43" s="932">
        <f t="shared" ca="1" si="27"/>
        <v>44.091151946186457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560900</v>
      </c>
      <c r="M44" s="881">
        <f t="shared" ca="1" si="29"/>
        <v>570860</v>
      </c>
      <c r="N44" s="881">
        <f t="shared" ca="1" si="29"/>
        <v>251698.75</v>
      </c>
      <c r="O44" s="881">
        <f t="shared" ca="1" si="26"/>
        <v>44.874086289891245</v>
      </c>
      <c r="P44" s="881">
        <f t="shared" ca="1" si="27"/>
        <v>44.091151946186457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IFERROR(__xludf.DUMMYFUNCTION("IMPORTRANGE(""https://docs.google.com/spreadsheets/d/1MeEWN-I1oV_STSDYn1IFDPWt_1FKiwhDph83XaGc0o0/edit?usp=sharing"",""งบพรบ!M82"")"),560900)</f>
        <v>560900</v>
      </c>
      <c r="M46" s="887">
        <f ca="1">IFERROR(__xludf.DUMMYFUNCTION("IMPORTRANGE(""https://docs.google.com/spreadsheets/d/1MeEWN-I1oV_STSDYn1IFDPWt_1FKiwhDph83XaGc0o0/edit?usp=sharing"",""งบพรบ!R82"")"),570860)</f>
        <v>570860</v>
      </c>
      <c r="N46" s="887">
        <f ca="1">IFERROR(__xludf.DUMMYFUNCTION("IMPORTRANGE(""https://docs.google.com/spreadsheets/d/1MeEWN-I1oV_STSDYn1IFDPWt_1FKiwhDph83XaGc0o0/edit?usp=sharing"",""งบพรบ!T82"")"),251698.75)</f>
        <v>251698.75</v>
      </c>
      <c r="O46" s="887">
        <f t="shared" ca="1" si="26"/>
        <v>44.874086289891245</v>
      </c>
      <c r="P46" s="887">
        <f t="shared" ca="1" si="27"/>
        <v>44.091151946186457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IFERROR(__xludf.DUMMYFUNCTION("IMPORTRANGE(""https://docs.google.com/spreadsheets/d/1MeEWN-I1oV_STSDYn1IFDPWt_1FKiwhDph83XaGc0o0/edit?usp=sharing"",""งบพรบ!P82"")"),0)</f>
        <v>0</v>
      </c>
      <c r="M49" s="893">
        <f ca="1">IFERROR(__xludf.DUMMYFUNCTION("IMPORTRANGE(""https://docs.google.com/spreadsheets/d/1MeEWN-I1oV_STSDYn1IFDPWt_1FKiwhDph83XaGc0o0/edit?usp=sharing"",""งบพรบ!S82"")"),0)</f>
        <v>0</v>
      </c>
      <c r="N49" s="893">
        <f ca="1">IFERROR(__xludf.DUMMYFUNCTION("IMPORTRANGE(""https://docs.google.com/spreadsheets/d/1MeEWN-I1oV_STSDYn1IFDPWt_1FKiwhDph83XaGc0o0/edit?usp=sharing"",""งบพรบ!U82"")"),0)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607300</v>
      </c>
      <c r="M53" s="956">
        <f t="shared" ca="1" si="31"/>
        <v>455475</v>
      </c>
      <c r="N53" s="956">
        <f t="shared" ca="1" si="31"/>
        <v>308335.02</v>
      </c>
      <c r="O53" s="956">
        <f t="shared" ref="O53:O61" ca="1" si="32">IF(L53&gt;0,N53*100/L53,0)</f>
        <v>50.771450683352541</v>
      </c>
      <c r="P53" s="956">
        <f t="shared" ref="P53:P61" ca="1" si="33">IF(M53&gt;0,N53*100/M53,0)</f>
        <v>67.695267577803392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607300</v>
      </c>
      <c r="M55" s="962">
        <f t="shared" ca="1" si="34"/>
        <v>455475</v>
      </c>
      <c r="N55" s="962">
        <f t="shared" ca="1" si="34"/>
        <v>308335.02</v>
      </c>
      <c r="O55" s="962">
        <f t="shared" ca="1" si="32"/>
        <v>50.771450683352541</v>
      </c>
      <c r="P55" s="962">
        <f t="shared" ca="1" si="33"/>
        <v>67.695267577803392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607300</v>
      </c>
      <c r="M56" s="881">
        <f t="shared" ca="1" si="35"/>
        <v>455475</v>
      </c>
      <c r="N56" s="881">
        <f t="shared" ca="1" si="35"/>
        <v>308335.02</v>
      </c>
      <c r="O56" s="881">
        <f t="shared" ca="1" si="32"/>
        <v>50.771450683352541</v>
      </c>
      <c r="P56" s="881">
        <f t="shared" ca="1" si="33"/>
        <v>67.695267577803392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IFERROR(__xludf.DUMMYFUNCTION("IMPORTRANGE(""https://docs.google.com/spreadsheets/d/1MeEWN-I1oV_STSDYn1IFDPWt_1FKiwhDph83XaGc0o0/edit?usp=sharing"",""งบพรบ!W82"")"),607300)</f>
        <v>607300</v>
      </c>
      <c r="M58" s="887">
        <f ca="1">IFERROR(__xludf.DUMMYFUNCTION("IMPORTRANGE(""https://docs.google.com/spreadsheets/d/1MeEWN-I1oV_STSDYn1IFDPWt_1FKiwhDph83XaGc0o0/edit?usp=sharing"",""งบพรบ!AB82"")"),455475)</f>
        <v>455475</v>
      </c>
      <c r="N58" s="887">
        <f ca="1">IFERROR(__xludf.DUMMYFUNCTION("IMPORTRANGE(""https://docs.google.com/spreadsheets/d/1MeEWN-I1oV_STSDYn1IFDPWt_1FKiwhDph83XaGc0o0/edit?usp=sharing"",""งบพรบ!AD82"")"),308335.02)</f>
        <v>308335.02</v>
      </c>
      <c r="O58" s="887">
        <f t="shared" ca="1" si="32"/>
        <v>50.771450683352541</v>
      </c>
      <c r="P58" s="887">
        <f t="shared" ca="1" si="33"/>
        <v>67.695267577803392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0</v>
      </c>
      <c r="M59" s="881">
        <f t="shared" ca="1" si="36"/>
        <v>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IFERROR(__xludf.DUMMYFUNCTION("IMPORTRANGE(""https://docs.google.com/spreadsheets/d/1MeEWN-I1oV_STSDYn1IFDPWt_1FKiwhDph83XaGc0o0/edit?usp=sharing"",""งบพรบ!Z82"")"),0)</f>
        <v>0</v>
      </c>
      <c r="M61" s="893">
        <f ca="1">IFERROR(__xludf.DUMMYFUNCTION("IMPORTRANGE(""https://docs.google.com/spreadsheets/d/1MeEWN-I1oV_STSDYn1IFDPWt_1FKiwhDph83XaGc0o0/edit?usp=sharing"",""งบพรบ!AC82"")"),0)</f>
        <v>0</v>
      </c>
      <c r="N61" s="893">
        <f ca="1">IFERROR(__xludf.DUMMYFUNCTION("IMPORTRANGE(""https://docs.google.com/spreadsheets/d/1MeEWN-I1oV_STSDYn1IFDPWt_1FKiwhDph83XaGc0o0/edit?usp=sharing"",""งบพรบ!AE82"")"),0)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1</v>
      </c>
      <c r="J64" s="982">
        <f t="shared" si="37"/>
        <v>1</v>
      </c>
      <c r="K64" s="983">
        <f t="shared" ref="K64:K65" ca="1" si="38">IF(I64&gt;0,J64*100/I64,0)</f>
        <v>100</v>
      </c>
      <c r="L64" s="984"/>
      <c r="M64" s="984"/>
      <c r="N64" s="984"/>
      <c r="O64" s="984"/>
      <c r="P64" s="984"/>
    </row>
    <row r="65" spans="1:26" ht="19.5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30</v>
      </c>
      <c r="J65" s="982">
        <f t="shared" si="37"/>
        <v>30</v>
      </c>
      <c r="K65" s="983">
        <f t="shared" ca="1" si="38"/>
        <v>100</v>
      </c>
      <c r="L65" s="984"/>
      <c r="M65" s="984"/>
      <c r="N65" s="984"/>
      <c r="O65" s="984"/>
      <c r="P65" s="984"/>
    </row>
    <row r="66" spans="1:26" ht="19.5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916200</v>
      </c>
      <c r="M66" s="992">
        <f t="shared" ca="1" si="39"/>
        <v>700900</v>
      </c>
      <c r="N66" s="992">
        <f t="shared" ca="1" si="39"/>
        <v>526823.12</v>
      </c>
      <c r="O66" s="992">
        <f t="shared" ref="O66:O74" ca="1" si="40">IF(L66&gt;0,N66*100/L66,0)</f>
        <v>57.500886269373503</v>
      </c>
      <c r="P66" s="992">
        <f t="shared" ref="P66:P74" ca="1" si="41">IF(M66&gt;0,N66*100/M66,0)</f>
        <v>75.163806534455702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916200</v>
      </c>
      <c r="M68" s="887">
        <f t="shared" ca="1" si="42"/>
        <v>700900</v>
      </c>
      <c r="N68" s="887">
        <f t="shared" ca="1" si="42"/>
        <v>526823.12</v>
      </c>
      <c r="O68" s="887">
        <f t="shared" ca="1" si="40"/>
        <v>57.500886269373503</v>
      </c>
      <c r="P68" s="887">
        <f t="shared" ca="1" si="41"/>
        <v>75.163806534455702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916200</v>
      </c>
      <c r="M69" s="881">
        <f t="shared" ca="1" si="43"/>
        <v>700900</v>
      </c>
      <c r="N69" s="881">
        <f t="shared" ca="1" si="43"/>
        <v>526823.12</v>
      </c>
      <c r="O69" s="881">
        <f t="shared" ca="1" si="40"/>
        <v>57.500886269373503</v>
      </c>
      <c r="P69" s="881">
        <f t="shared" ca="1" si="41"/>
        <v>75.163806534455702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IFERROR(__xludf.DUMMYFUNCTION("IMPORTRANGE(""https://docs.google.com/spreadsheets/d/1MeEWN-I1oV_STSDYn1IFDPWt_1FKiwhDph83XaGc0o0/edit?usp=sharing"",""งบพรบ!AG82"")"),916200)</f>
        <v>916200</v>
      </c>
      <c r="M71" s="887">
        <f ca="1">IFERROR(__xludf.DUMMYFUNCTION("IMPORTRANGE(""https://docs.google.com/spreadsheets/d/1MeEWN-I1oV_STSDYn1IFDPWt_1FKiwhDph83XaGc0o0/edit?usp=sharing"",""งบพรบ!AL82"")"),700900)</f>
        <v>700900</v>
      </c>
      <c r="N71" s="887">
        <f ca="1">IFERROR(__xludf.DUMMYFUNCTION("IMPORTRANGE(""https://docs.google.com/spreadsheets/d/1MeEWN-I1oV_STSDYn1IFDPWt_1FKiwhDph83XaGc0o0/edit?usp=sharing"",""งบพรบ!AN82"")"),526823.12)</f>
        <v>526823.12</v>
      </c>
      <c r="O71" s="887">
        <f t="shared" ca="1" si="40"/>
        <v>57.500886269373503</v>
      </c>
      <c r="P71" s="887">
        <f t="shared" ca="1" si="41"/>
        <v>75.163806534455702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IFERROR(__xludf.DUMMYFUNCTION("IMPORTRANGE(""https://docs.google.com/spreadsheets/d/1MeEWN-I1oV_STSDYn1IFDPWt_1FKiwhDph83XaGc0o0/edit?usp=sharing"",""งบพรบ!AJ82"")"),0)</f>
        <v>0</v>
      </c>
      <c r="M74" s="887">
        <f ca="1">IFERROR(__xludf.DUMMYFUNCTION("IMPORTRANGE(""https://docs.google.com/spreadsheets/d/1MeEWN-I1oV_STSDYn1IFDPWt_1FKiwhDph83XaGc0o0/edit?usp=sharing"",""งบพรบ!AM82"")"),0)</f>
        <v>0</v>
      </c>
      <c r="N74" s="887">
        <f ca="1">IFERROR(__xludf.DUMMYFUNCTION("IMPORTRANGE(""https://docs.google.com/spreadsheets/d/1MeEWN-I1oV_STSDYn1IFDPWt_1FKiwhDph83XaGc0o0/edit?usp=sharing"",""งบพรบ!AO82"")"),0)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1</v>
      </c>
      <c r="J76" s="880">
        <f t="shared" si="45"/>
        <v>1</v>
      </c>
      <c r="K76" s="998">
        <f t="shared" ref="K76:K84" ca="1" si="46">IF(I76&gt;0,J76*100/I76,0)</f>
        <v>100</v>
      </c>
      <c r="L76" s="998"/>
      <c r="M76" s="998"/>
      <c r="N76" s="998"/>
      <c r="O76" s="998"/>
      <c r="P76" s="998"/>
    </row>
    <row r="77" spans="1:26" ht="19.5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30</v>
      </c>
      <c r="J77" s="880">
        <f t="shared" si="45"/>
        <v>30</v>
      </c>
      <c r="K77" s="998">
        <f t="shared" ca="1" si="46"/>
        <v>100</v>
      </c>
      <c r="L77" s="998"/>
      <c r="M77" s="998"/>
      <c r="N77" s="998"/>
      <c r="O77" s="998"/>
      <c r="P77" s="998"/>
    </row>
    <row r="78" spans="1:26" ht="18.75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IFERROR(__xludf.DUMMYFUNCTION("IMPORTRANGE(""https://docs.google.com/spreadsheets/d/1QqKyyYR6Q21VydFLVH3TRQUabQu_ym0Zz7PgGX0-kHA/edit?usp=sharing"",""แผน!H82"")"),0)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IFERROR(__xludf.DUMMYFUNCTION("IMPORTRANGE(""https://docs.google.com/spreadsheets/d/1QqKyyYR6Q21VydFLVH3TRQUabQu_ym0Zz7PgGX0-kHA/edit?usp=sharing"",""แผน!I82"")"),0)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IFERROR(__xludf.DUMMYFUNCTION("IMPORTRANGE(""https://docs.google.com/spreadsheets/d/1QqKyyYR6Q21VydFLVH3TRQUabQu_ym0Zz7PgGX0-kHA/edit?usp=sharing"",""แผน!F82"")"),1)</f>
        <v>1</v>
      </c>
      <c r="J80" s="1012">
        <v>1</v>
      </c>
      <c r="K80" s="998">
        <f t="shared" ca="1" si="46"/>
        <v>100</v>
      </c>
      <c r="L80" s="998"/>
      <c r="M80" s="998"/>
      <c r="N80" s="998"/>
      <c r="O80" s="998"/>
      <c r="P80" s="998"/>
    </row>
    <row r="81" spans="1:26" ht="18.75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IFERROR(__xludf.DUMMYFUNCTION("IMPORTRANGE(""https://docs.google.com/spreadsheets/d/1QqKyyYR6Q21VydFLVH3TRQUabQu_ym0Zz7PgGX0-kHA/edit?usp=sharing"",""แผน!G82"")"),30)</f>
        <v>30</v>
      </c>
      <c r="J81" s="1012">
        <v>30</v>
      </c>
      <c r="K81" s="998">
        <f t="shared" ca="1" si="46"/>
        <v>100</v>
      </c>
      <c r="L81" s="998"/>
      <c r="M81" s="998"/>
      <c r="N81" s="998"/>
      <c r="O81" s="998"/>
      <c r="P81" s="998"/>
    </row>
    <row r="82" spans="1:26" ht="18.75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IFERROR(__xludf.DUMMYFUNCTION("IMPORTRANGE(""https://docs.google.com/spreadsheets/d/1QqKyyYR6Q21VydFLVH3TRQUabQu_ym0Zz7PgGX0-kHA/edit?usp=sharing"",""แผน!D82"")"),0)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IFERROR(__xludf.DUMMYFUNCTION("IMPORTRANGE(""https://docs.google.com/spreadsheets/d/1QqKyyYR6Q21VydFLVH3TRQUabQu_ym0Zz7PgGX0-kHA/edit?usp=sharing"",""แผน!E82"")"),0)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IFERROR(__xludf.DUMMYFUNCTION("IMPORTRANGE(""https://docs.google.com/spreadsheets/d/1QqKyyYR6Q21VydFLVH3TRQUabQu_ym0Zz7PgGX0-kHA/edit?usp=sharing"",""แผน!J82"")"),1)</f>
        <v>1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30</v>
      </c>
      <c r="J86" s="982">
        <f t="shared" si="47"/>
        <v>30</v>
      </c>
      <c r="K86" s="983">
        <f t="shared" ref="K86:K87" ca="1" si="48">IF(I86&gt;0,J86*100/I86,0)</f>
        <v>100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10</v>
      </c>
      <c r="J87" s="982">
        <f t="shared" si="47"/>
        <v>10</v>
      </c>
      <c r="K87" s="983">
        <f t="shared" ca="1" si="48"/>
        <v>100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86340</v>
      </c>
      <c r="M88" s="992">
        <f t="shared" ca="1" si="49"/>
        <v>79640</v>
      </c>
      <c r="N88" s="992">
        <f t="shared" ca="1" si="49"/>
        <v>70390</v>
      </c>
      <c r="O88" s="992">
        <f t="shared" ref="O88:O96" ca="1" si="50">IF(L88&gt;0,N88*100/L88,0)</f>
        <v>81.526523048413253</v>
      </c>
      <c r="P88" s="992">
        <f t="shared" ref="P88:P96" ca="1" si="51">IF(M88&gt;0,N88*100/M88,0)</f>
        <v>88.385233550979407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86340</v>
      </c>
      <c r="M90" s="887">
        <f t="shared" ca="1" si="52"/>
        <v>79640</v>
      </c>
      <c r="N90" s="887">
        <f t="shared" ca="1" si="52"/>
        <v>70390</v>
      </c>
      <c r="O90" s="887">
        <f t="shared" ca="1" si="50"/>
        <v>81.526523048413253</v>
      </c>
      <c r="P90" s="887">
        <f t="shared" ca="1" si="51"/>
        <v>88.385233550979407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86340</v>
      </c>
      <c r="M91" s="881">
        <f t="shared" ca="1" si="53"/>
        <v>79640</v>
      </c>
      <c r="N91" s="881">
        <f t="shared" ca="1" si="53"/>
        <v>70390</v>
      </c>
      <c r="O91" s="881">
        <f t="shared" ca="1" si="50"/>
        <v>81.526523048413253</v>
      </c>
      <c r="P91" s="881">
        <f t="shared" ca="1" si="51"/>
        <v>88.385233550979407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IFERROR(__xludf.DUMMYFUNCTION("IMPORTRANGE(""https://docs.google.com/spreadsheets/d/1MeEWN-I1oV_STSDYn1IFDPWt_1FKiwhDph83XaGc0o0/edit?usp=sharing"",""งบพรบ!AQ82"")"),86340)</f>
        <v>86340</v>
      </c>
      <c r="M93" s="887">
        <f ca="1">IFERROR(__xludf.DUMMYFUNCTION("IMPORTRANGE(""https://docs.google.com/spreadsheets/d/1MeEWN-I1oV_STSDYn1IFDPWt_1FKiwhDph83XaGc0o0/edit?usp=sharing"",""งบพรบ!AV82"")"),79640)</f>
        <v>79640</v>
      </c>
      <c r="N93" s="887">
        <f ca="1">IFERROR(__xludf.DUMMYFUNCTION("IMPORTRANGE(""https://docs.google.com/spreadsheets/d/1MeEWN-I1oV_STSDYn1IFDPWt_1FKiwhDph83XaGc0o0/edit?usp=sharing"",""งบพรบ!AX82"")"),70390)</f>
        <v>70390</v>
      </c>
      <c r="O93" s="887">
        <f t="shared" ca="1" si="50"/>
        <v>81.526523048413253</v>
      </c>
      <c r="P93" s="887">
        <f t="shared" ca="1" si="51"/>
        <v>88.385233550979407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IFERROR(__xludf.DUMMYFUNCTION("IMPORTRANGE(""https://docs.google.com/spreadsheets/d/1MeEWN-I1oV_STSDYn1IFDPWt_1FKiwhDph83XaGc0o0/edit?usp=sharing"",""งบพรบ!AT82"")"),0)</f>
        <v>0</v>
      </c>
      <c r="M96" s="887">
        <f ca="1">IFERROR(__xludf.DUMMYFUNCTION("IMPORTRANGE(""https://docs.google.com/spreadsheets/d/1MeEWN-I1oV_STSDYn1IFDPWt_1FKiwhDph83XaGc0o0/edit?usp=sharing"",""งบพรบ!AW82"")"),0)</f>
        <v>0</v>
      </c>
      <c r="N96" s="887">
        <f ca="1">IFERROR(__xludf.DUMMYFUNCTION("IMPORTRANGE(""https://docs.google.com/spreadsheets/d/1MeEWN-I1oV_STSDYn1IFDPWt_1FKiwhDph83XaGc0o0/edit?usp=sharing"",""งบพรบ!AY82"")"),0)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IFERROR(__xludf.DUMMYFUNCTION("IMPORTRANGE(""https://docs.google.com/spreadsheets/d/1QqKyyYR6Q21VydFLVH3TRQUabQu_ym0Zz7PgGX0-kHA/edit?usp=sharing"",""แผน!K82"")"),30)</f>
        <v>30</v>
      </c>
      <c r="J98" s="880">
        <f>J102</f>
        <v>30</v>
      </c>
      <c r="K98" s="881">
        <f t="shared" ref="K98:K100" ca="1" si="55">IF(I98&gt;0,J98*100/I98,0)</f>
        <v>100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IFERROR(__xludf.DUMMYFUNCTION("IMPORTRANGE(""https://docs.google.com/spreadsheets/d/1QqKyyYR6Q21VydFLVH3TRQUabQu_ym0Zz7PgGX0-kHA/edit?usp=sharing"",""แผน!L82"")"),10)</f>
        <v>10</v>
      </c>
      <c r="J99" s="880">
        <f>J104</f>
        <v>10</v>
      </c>
      <c r="K99" s="881">
        <f t="shared" ca="1" si="55"/>
        <v>100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IFERROR(__xludf.DUMMYFUNCTION("IMPORTRANGE(""https://docs.google.com/spreadsheets/d/1QqKyyYR6Q21VydFLVH3TRQUabQu_ym0Zz7PgGX0-kHA/edit?usp=sharing"",""แผน!M82"")"),2)</f>
        <v>2</v>
      </c>
      <c r="J100" s="880">
        <f>J107+J110</f>
        <v>2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IFERROR(__xludf.DUMMYFUNCTION("IMPORTRANGE(""https://docs.google.com/spreadsheets/d/1QqKyyYR6Q21VydFLVH3TRQUabQu_ym0Zz7PgGX0-kHA/edit?usp=sharing"",""แผน!N82"")"),30)</f>
        <v>30</v>
      </c>
      <c r="J102" s="1012">
        <v>30</v>
      </c>
      <c r="K102" s="881">
        <f t="shared" ref="K102:K104" ca="1" si="56">IF(I102&gt;0,J102*100/I102,0)</f>
        <v>100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IFERROR(__xludf.DUMMYFUNCTION("IMPORTRANGE(""https://docs.google.com/spreadsheets/d/1QqKyyYR6Q21VydFLVH3TRQUabQu_ym0Zz7PgGX0-kHA/edit?usp=sharing"",""แผน!O82"")"),10)</f>
        <v>10</v>
      </c>
      <c r="J103" s="1012">
        <v>10</v>
      </c>
      <c r="K103" s="881">
        <f t="shared" ca="1" si="56"/>
        <v>100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IFERROR(__xludf.DUMMYFUNCTION("IMPORTRANGE(""https://docs.google.com/spreadsheets/d/1QqKyyYR6Q21VydFLVH3TRQUabQu_ym0Zz7PgGX0-kHA/edit?usp=sharing"",""แผน!O82"")"),10)</f>
        <v>10</v>
      </c>
      <c r="J104" s="1012">
        <v>10</v>
      </c>
      <c r="K104" s="881">
        <f t="shared" ca="1" si="56"/>
        <v>100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IFERROR(__xludf.DUMMYFUNCTION("IMPORTRANGE(""https://docs.google.com/spreadsheets/d/1QqKyyYR6Q21VydFLVH3TRQUabQu_ym0Zz7PgGX0-kHA/edit?usp=sharing"",""แผน!P82"")"),1)</f>
        <v>1</v>
      </c>
      <c r="J106" s="1524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IFERROR(__xludf.DUMMYFUNCTION("IMPORTRANGE(""https://docs.google.com/spreadsheets/d/1QqKyyYR6Q21VydFLVH3TRQUabQu_ym0Zz7PgGX0-kHA/edit?usp=sharing"",""แผน!P82"")"),1)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IFERROR(__xludf.DUMMYFUNCTION("IMPORTRANGE(""https://docs.google.com/spreadsheets/d/1QqKyyYR6Q21VydFLVH3TRQUabQu_ym0Zz7PgGX0-kHA/edit?usp=sharing"",""แผน!Q82"")"),1)</f>
        <v>1</v>
      </c>
      <c r="J109" s="1012">
        <v>1</v>
      </c>
      <c r="K109" s="881">
        <f t="shared" ref="K109:K116" ca="1" si="58">IF(I109&gt;0,J109*100/I109,0)</f>
        <v>100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IFERROR(__xludf.DUMMYFUNCTION("IMPORTRANGE(""https://docs.google.com/spreadsheets/d/1QqKyyYR6Q21VydFLVH3TRQUabQu_ym0Zz7PgGX0-kHA/edit?usp=sharing"",""แผน!Q82"")"),1)</f>
        <v>1</v>
      </c>
      <c r="J110" s="1012">
        <v>1</v>
      </c>
      <c r="K110" s="881">
        <f t="shared" ca="1" si="58"/>
        <v>100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IFERROR(__xludf.DUMMYFUNCTION("IMPORTRANGE(""https://docs.google.com/spreadsheets/d/1QqKyyYR6Q21VydFLVH3TRQUabQu_ym0Zz7PgGX0-kHA/edit?usp=sharing"",""แผน!R82"")"),10)</f>
        <v>10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2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IFERROR(__xludf.DUMMYFUNCTION("IMPORTRANGE(""https://docs.google.com/spreadsheets/d/1QqKyyYR6Q21VydFLVH3TRQUabQu_ym0Zz7PgGX0-kHA/edit?usp=sharing"",""แผน!R82"")"),10)</f>
        <v>10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IFERROR(__xludf.DUMMYFUNCTION("IMPORTRANGE(""https://docs.google.com/spreadsheets/d/1QqKyyYR6Q21VydFLVH3TRQUabQu_ym0Zz7PgGX0-kHA/edit?usp=sharing"",""แผน!R82"")"),10)</f>
        <v>10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IFERROR(__xludf.DUMMYFUNCTION("IMPORTRANGE(""https://docs.google.com/spreadsheets/d/1QqKyyYR6Q21VydFLVH3TRQUabQu_ym0Zz7PgGX0-kHA/edit?usp=sharing"",""แผน!S82"")"),1)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IFERROR(__xludf.DUMMYFUNCTION("IMPORTRANGE(""https://docs.google.com/spreadsheets/d/1QqKyyYR6Q21VydFLVH3TRQUabQu_ym0Zz7PgGX0-kHA/edit?usp=sharing"",""แผน!T82"")"),1)</f>
        <v>1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>
        <v>0</v>
      </c>
      <c r="J118" s="1027">
        <v>0</v>
      </c>
      <c r="K118" s="984">
        <v>0</v>
      </c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IFERROR(__xludf.DUMMYFUNCTION("IMPORTRANGE(""https://docs.google.com/spreadsheets/d/1MeEWN-I1oV_STSDYn1IFDPWt_1FKiwhDph83XaGc0o0/edit?usp=sharing"",""งบพรบ!BA82"")"),0)</f>
        <v>0</v>
      </c>
      <c r="M124" s="887">
        <f ca="1">IFERROR(__xludf.DUMMYFUNCTION("IMPORTRANGE(""https://docs.google.com/spreadsheets/d/1MeEWN-I1oV_STSDYn1IFDPWt_1FKiwhDph83XaGc0o0/edit?usp=sharing"",""งบพรบ!BF82"")"),0)</f>
        <v>0</v>
      </c>
      <c r="N124" s="887">
        <f ca="1">IFERROR(__xludf.DUMMYFUNCTION("IMPORTRANGE(""https://docs.google.com/spreadsheets/d/1MeEWN-I1oV_STSDYn1IFDPWt_1FKiwhDph83XaGc0o0/edit?usp=sharing"",""งบพรบ!BH82"")"),0)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IFERROR(__xludf.DUMMYFUNCTION("IMPORTRANGE(""https://docs.google.com/spreadsheets/d/1MeEWN-I1oV_STSDYn1IFDPWt_1FKiwhDph83XaGc0o0/edit?usp=sharing"",""งบพรบ!BD82"")"),0)</f>
        <v>0</v>
      </c>
      <c r="M127" s="887">
        <f ca="1">IFERROR(__xludf.DUMMYFUNCTION("IMPORTRANGE(""https://docs.google.com/spreadsheets/d/1MeEWN-I1oV_STSDYn1IFDPWt_1FKiwhDph83XaGc0o0/edit?usp=sharing"",""งบพรบ!BG82"")"),0)</f>
        <v>0</v>
      </c>
      <c r="N127" s="887">
        <f ca="1">IFERROR(__xludf.DUMMYFUNCTION("IMPORTRANGE(""https://docs.google.com/spreadsheets/d/1MeEWN-I1oV_STSDYn1IFDPWt_1FKiwhDph83XaGc0o0/edit?usp=sharing"",""งบพรบ!BI82"")"),0)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3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30</v>
      </c>
      <c r="J131" s="982">
        <f t="shared" ca="1" si="68"/>
        <v>30</v>
      </c>
      <c r="K131" s="983">
        <f t="shared" ca="1" si="67"/>
        <v>100</v>
      </c>
      <c r="L131" s="984"/>
      <c r="M131" s="984"/>
      <c r="N131" s="984"/>
      <c r="O131" s="984"/>
      <c r="P131" s="984"/>
    </row>
    <row r="132" spans="1:26" ht="19.5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454965</v>
      </c>
      <c r="M132" s="992">
        <f t="shared" ca="1" si="69"/>
        <v>440600</v>
      </c>
      <c r="N132" s="992">
        <f t="shared" ca="1" si="69"/>
        <v>377810</v>
      </c>
      <c r="O132" s="992">
        <f t="shared" ref="O132:O140" ca="1" si="70">IF(L132&gt;0,N132*100/L132,0)</f>
        <v>83.041552646906908</v>
      </c>
      <c r="P132" s="992">
        <f t="shared" ref="P132:P140" ca="1" si="71">IF(M132&gt;0,N132*100/M132,0)</f>
        <v>85.748978665456193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454965</v>
      </c>
      <c r="M134" s="887">
        <f t="shared" ca="1" si="72"/>
        <v>440600</v>
      </c>
      <c r="N134" s="887">
        <f t="shared" ca="1" si="72"/>
        <v>377810</v>
      </c>
      <c r="O134" s="887">
        <f t="shared" ca="1" si="70"/>
        <v>83.041552646906908</v>
      </c>
      <c r="P134" s="887">
        <f t="shared" ca="1" si="71"/>
        <v>85.748978665456193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145965</v>
      </c>
      <c r="M135" s="881">
        <f t="shared" ca="1" si="73"/>
        <v>131600</v>
      </c>
      <c r="N135" s="881">
        <f t="shared" ca="1" si="73"/>
        <v>68810</v>
      </c>
      <c r="O135" s="881">
        <f t="shared" ca="1" si="70"/>
        <v>47.141438015962734</v>
      </c>
      <c r="P135" s="881">
        <f t="shared" ca="1" si="71"/>
        <v>52.287234042553195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IFERROR(__xludf.DUMMYFUNCTION("IMPORTRANGE(""https://docs.google.com/spreadsheets/d/1MeEWN-I1oV_STSDYn1IFDPWt_1FKiwhDph83XaGc0o0/edit?usp=sharing"",""งบพรบ!BK82"")"),145965)</f>
        <v>145965</v>
      </c>
      <c r="M137" s="887">
        <f ca="1">IFERROR(__xludf.DUMMYFUNCTION("IMPORTRANGE(""https://docs.google.com/spreadsheets/d/1MeEWN-I1oV_STSDYn1IFDPWt_1FKiwhDph83XaGc0o0/edit?usp=sharing"",""งบพรบ!BP82"")"),131600)</f>
        <v>131600</v>
      </c>
      <c r="N137" s="887">
        <f ca="1">IFERROR(__xludf.DUMMYFUNCTION("IMPORTRANGE(""https://docs.google.com/spreadsheets/d/1MeEWN-I1oV_STSDYn1IFDPWt_1FKiwhDph83XaGc0o0/edit?usp=sharing"",""งบพรบ!BR82"")"),68810)</f>
        <v>68810</v>
      </c>
      <c r="O137" s="887">
        <f t="shared" ca="1" si="70"/>
        <v>47.141438015962734</v>
      </c>
      <c r="P137" s="887">
        <f t="shared" ca="1" si="71"/>
        <v>52.287234042553195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309000</v>
      </c>
      <c r="M138" s="881">
        <f t="shared" ca="1" si="74"/>
        <v>309000</v>
      </c>
      <c r="N138" s="881">
        <f t="shared" ca="1" si="74"/>
        <v>309000</v>
      </c>
      <c r="O138" s="881">
        <f t="shared" ca="1" si="70"/>
        <v>100</v>
      </c>
      <c r="P138" s="881">
        <f t="shared" ca="1" si="71"/>
        <v>100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IFERROR(__xludf.DUMMYFUNCTION("IMPORTRANGE(""https://docs.google.com/spreadsheets/d/1MeEWN-I1oV_STSDYn1IFDPWt_1FKiwhDph83XaGc0o0/edit?usp=sharing"",""งบพรบ!BN82"")"),309000)</f>
        <v>309000</v>
      </c>
      <c r="M140" s="887">
        <f ca="1">IFERROR(__xludf.DUMMYFUNCTION("IMPORTRANGE(""https://docs.google.com/spreadsheets/d/1MeEWN-I1oV_STSDYn1IFDPWt_1FKiwhDph83XaGc0o0/edit?usp=sharing"",""งบพรบ!BQ82"")"),309000)</f>
        <v>309000</v>
      </c>
      <c r="N140" s="887">
        <f ca="1">IFERROR(__xludf.DUMMYFUNCTION("IMPORTRANGE(""https://docs.google.com/spreadsheets/d/1MeEWN-I1oV_STSDYn1IFDPWt_1FKiwhDph83XaGc0o0/edit?usp=sharing"",""งบพรบ!BS82"")"),309000)</f>
        <v>309000</v>
      </c>
      <c r="O140" s="887">
        <f t="shared" ca="1" si="70"/>
        <v>100</v>
      </c>
      <c r="P140" s="887">
        <f t="shared" ca="1" si="71"/>
        <v>100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30</v>
      </c>
      <c r="J143" s="880">
        <f ca="1">IF(AND(J144&gt;=I144,J145&gt;=I145),J145,0)</f>
        <v>30</v>
      </c>
      <c r="K143" s="881">
        <f t="shared" ref="K143:K146" ca="1" si="75">IF(I143&gt;0,J143*100/I143,0)</f>
        <v>100</v>
      </c>
      <c r="L143" s="881"/>
      <c r="M143" s="881"/>
      <c r="N143" s="881"/>
      <c r="O143" s="881"/>
      <c r="P143" s="881"/>
    </row>
    <row r="144" spans="1:26" ht="19.5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IFERROR(__xludf.DUMMYFUNCTION("IMPORTRANGE(""https://docs.google.com/spreadsheets/d/1QqKyyYR6Q21VydFLVH3TRQUabQu_ym0Zz7PgGX0-kHA/edit?usp=sharing"",""แผน!U82"")"),15)</f>
        <v>15</v>
      </c>
      <c r="J144" s="1012">
        <v>15</v>
      </c>
      <c r="K144" s="881">
        <f t="shared" ca="1" si="75"/>
        <v>100</v>
      </c>
      <c r="L144" s="881"/>
      <c r="M144" s="881"/>
      <c r="N144" s="881"/>
      <c r="O144" s="881"/>
      <c r="P144" s="881"/>
    </row>
    <row r="145" spans="1:26" ht="19.5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IFERROR(__xludf.DUMMYFUNCTION("IMPORTRANGE(""https://docs.google.com/spreadsheets/d/1QqKyyYR6Q21VydFLVH3TRQUabQu_ym0Zz7PgGX0-kHA/edit?usp=sharing"",""แผน!V82"")"),30)</f>
        <v>30</v>
      </c>
      <c r="J145" s="1012">
        <v>30</v>
      </c>
      <c r="K145" s="881">
        <f t="shared" ca="1" si="75"/>
        <v>100</v>
      </c>
      <c r="L145" s="881"/>
      <c r="M145" s="881"/>
      <c r="N145" s="881"/>
      <c r="O145" s="881"/>
      <c r="P145" s="881"/>
    </row>
    <row r="146" spans="1:26" ht="19.5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IFERROR(__xludf.DUMMYFUNCTION("IMPORTRANGE(""https://docs.google.com/spreadsheets/d/1QqKyyYR6Q21VydFLVH3TRQUabQu_ym0Zz7PgGX0-kHA/edit?usp=sharing"",""แผน!W82"")"),3)</f>
        <v>3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IFERROR(__xludf.DUMMYFUNCTION("IMPORTRANGE(""https://docs.google.com/spreadsheets/d/1MeEWN-I1oV_STSDYn1IFDPWt_1FKiwhDph83XaGc0o0/edit?usp=sharing"",""งบพรบ!BU82"")"),0)</f>
        <v>0</v>
      </c>
      <c r="M154" s="887">
        <f ca="1">IFERROR(__xludf.DUMMYFUNCTION("IMPORTRANGE(""https://docs.google.com/spreadsheets/d/1MeEWN-I1oV_STSDYn1IFDPWt_1FKiwhDph83XaGc0o0/edit?usp=sharing"",""งบพรบ!BZ82"")"),0)</f>
        <v>0</v>
      </c>
      <c r="N154" s="887">
        <f ca="1">IFERROR(__xludf.DUMMYFUNCTION("IMPORTRANGE(""https://docs.google.com/spreadsheets/d/1MeEWN-I1oV_STSDYn1IFDPWt_1FKiwhDph83XaGc0o0/edit?usp=sharing"",""งบพรบ!CB82"")"),0)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IFERROR(__xludf.DUMMYFUNCTION("IMPORTRANGE(""https://docs.google.com/spreadsheets/d/1MeEWN-I1oV_STSDYn1IFDPWt_1FKiwhDph83XaGc0o0/edit?usp=sharing"",""งบพรบ!BX82"")"),0)</f>
        <v>0</v>
      </c>
      <c r="M157" s="887">
        <f ca="1">IFERROR(__xludf.DUMMYFUNCTION("IMPORTRANGE(""https://docs.google.com/spreadsheets/d/1MeEWN-I1oV_STSDYn1IFDPWt_1FKiwhDph83XaGc0o0/edit?usp=sharing"",""งบพรบ!CA82"")"),0)</f>
        <v>0</v>
      </c>
      <c r="N157" s="887">
        <f ca="1">IFERROR(__xludf.DUMMYFUNCTION("IMPORTRANGE(""https://docs.google.com/spreadsheets/d/1MeEWN-I1oV_STSDYn1IFDPWt_1FKiwhDph83XaGc0o0/edit?usp=sharing"",""งบพรบ!CC82"")"),0)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IFERROR(__xludf.DUMMYFUNCTION("IMPORTRANGE(""https://docs.google.com/spreadsheets/d/1QqKyyYR6Q21VydFLVH3TRQUabQu_ym0Zz7PgGX0-kHA/edit?usp=sharing"",""แผน!X82"")"),0)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11</v>
      </c>
      <c r="J164" s="1075">
        <f t="shared" si="83"/>
        <v>11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22055</v>
      </c>
      <c r="M165" s="992">
        <f t="shared" ca="1" si="84"/>
        <v>39375</v>
      </c>
      <c r="N165" s="992">
        <f t="shared" ca="1" si="84"/>
        <v>39375</v>
      </c>
      <c r="O165" s="992">
        <f t="shared" ref="O165:O173" ca="1" si="85">IF(L165&gt;0,N165*100/L165,0)</f>
        <v>178.53094536386308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22055</v>
      </c>
      <c r="M167" s="887">
        <f t="shared" ca="1" si="87"/>
        <v>39375</v>
      </c>
      <c r="N167" s="887">
        <f t="shared" ca="1" si="87"/>
        <v>39375</v>
      </c>
      <c r="O167" s="887">
        <f t="shared" ca="1" si="85"/>
        <v>178.53094536386308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22055</v>
      </c>
      <c r="M168" s="881">
        <f t="shared" ca="1" si="88"/>
        <v>39375</v>
      </c>
      <c r="N168" s="881">
        <f t="shared" ca="1" si="88"/>
        <v>39375</v>
      </c>
      <c r="O168" s="881">
        <f t="shared" ca="1" si="85"/>
        <v>178.53094536386308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IFERROR(__xludf.DUMMYFUNCTION("IMPORTRANGE(""https://docs.google.com/spreadsheets/d/1MeEWN-I1oV_STSDYn1IFDPWt_1FKiwhDph83XaGc0o0/edit?usp=sharing"",""งบพรบ!CE82"")"),22055)</f>
        <v>22055</v>
      </c>
      <c r="M170" s="887">
        <f ca="1">IFERROR(__xludf.DUMMYFUNCTION("IMPORTRANGE(""https://docs.google.com/spreadsheets/d/1MeEWN-I1oV_STSDYn1IFDPWt_1FKiwhDph83XaGc0o0/edit?usp=sharing"",""งบพรบ!CJ82"")"),39375)</f>
        <v>39375</v>
      </c>
      <c r="N170" s="887">
        <f ca="1">IFERROR(__xludf.DUMMYFUNCTION("IMPORTRANGE(""https://docs.google.com/spreadsheets/d/1MeEWN-I1oV_STSDYn1IFDPWt_1FKiwhDph83XaGc0o0/edit?usp=sharing"",""งบพรบ!CL82"")"),39375)</f>
        <v>39375</v>
      </c>
      <c r="O170" s="887">
        <f t="shared" ca="1" si="85"/>
        <v>178.53094536386308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IFERROR(__xludf.DUMMYFUNCTION("IMPORTRANGE(""https://docs.google.com/spreadsheets/d/1MeEWN-I1oV_STSDYn1IFDPWt_1FKiwhDph83XaGc0o0/edit?usp=sharing"",""งบพรบ!CH82"")"),0)</f>
        <v>0</v>
      </c>
      <c r="M173" s="887">
        <f ca="1">IFERROR(__xludf.DUMMYFUNCTION("IMPORTRANGE(""https://docs.google.com/spreadsheets/d/1MeEWN-I1oV_STSDYn1IFDPWt_1FKiwhDph83XaGc0o0/edit?usp=sharing"",""งบพรบ!CK82"")"),0)</f>
        <v>0</v>
      </c>
      <c r="N173" s="887">
        <f ca="1">IFERROR(__xludf.DUMMYFUNCTION("IMPORTRANGE(""https://docs.google.com/spreadsheets/d/1MeEWN-I1oV_STSDYn1IFDPWt_1FKiwhDph83XaGc0o0/edit?usp=sharing"",""งบพรบ!CM82"")"),0)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11</v>
      </c>
      <c r="J174" s="1067">
        <f t="shared" si="90"/>
        <v>11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IFERROR(__xludf.DUMMYFUNCTION("IMPORTRANGE(""https://docs.google.com/spreadsheets/d/1QqKyyYR6Q21VydFLVH3TRQUabQu_ym0Zz7PgGX0-kHA/edit?usp=sharing"",""แผน!Y82"")"),11)</f>
        <v>11</v>
      </c>
      <c r="J176" s="1012">
        <v>11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38500</v>
      </c>
      <c r="M181" s="992">
        <f t="shared" ca="1" si="92"/>
        <v>33500</v>
      </c>
      <c r="N181" s="992">
        <f t="shared" ca="1" si="92"/>
        <v>26000</v>
      </c>
      <c r="O181" s="992">
        <f t="shared" ref="O181:O189" ca="1" si="93">IF(L181&gt;0,N181*100/L181,0)</f>
        <v>67.532467532467535</v>
      </c>
      <c r="P181" s="992">
        <f t="shared" ref="P181:P189" ca="1" si="94">IF(M181&gt;0,N181*100/M181,0)</f>
        <v>77.611940298507463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38500</v>
      </c>
      <c r="M183" s="887">
        <f t="shared" ca="1" si="95"/>
        <v>33500</v>
      </c>
      <c r="N183" s="887">
        <f t="shared" ca="1" si="95"/>
        <v>26000</v>
      </c>
      <c r="O183" s="887">
        <f t="shared" ca="1" si="93"/>
        <v>67.532467532467535</v>
      </c>
      <c r="P183" s="887">
        <f t="shared" ca="1" si="94"/>
        <v>77.611940298507463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38500</v>
      </c>
      <c r="M184" s="881">
        <f t="shared" ca="1" si="96"/>
        <v>33500</v>
      </c>
      <c r="N184" s="881">
        <f t="shared" ca="1" si="96"/>
        <v>26000</v>
      </c>
      <c r="O184" s="881">
        <f t="shared" ca="1" si="93"/>
        <v>67.532467532467535</v>
      </c>
      <c r="P184" s="881">
        <f t="shared" ca="1" si="94"/>
        <v>77.611940298507463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IFERROR(__xludf.DUMMYFUNCTION("IMPORTRANGE(""https://docs.google.com/spreadsheets/d/1MeEWN-I1oV_STSDYn1IFDPWt_1FKiwhDph83XaGc0o0/edit?usp=sharing"",""งบพรบ!CO82"")"),38500)</f>
        <v>38500</v>
      </c>
      <c r="M186" s="887">
        <f ca="1">IFERROR(__xludf.DUMMYFUNCTION("IMPORTRANGE(""https://docs.google.com/spreadsheets/d/1MeEWN-I1oV_STSDYn1IFDPWt_1FKiwhDph83XaGc0o0/edit?usp=sharing"",""งบพรบ!CT82"")"),33500)</f>
        <v>33500</v>
      </c>
      <c r="N186" s="887">
        <f ca="1">IFERROR(__xludf.DUMMYFUNCTION("IMPORTRANGE(""https://docs.google.com/spreadsheets/d/1MeEWN-I1oV_STSDYn1IFDPWt_1FKiwhDph83XaGc0o0/edit?usp=sharing"",""งบพรบ!CV82"")"),26000)</f>
        <v>26000</v>
      </c>
      <c r="O186" s="887">
        <f t="shared" ca="1" si="93"/>
        <v>67.532467532467535</v>
      </c>
      <c r="P186" s="887">
        <f t="shared" ca="1" si="94"/>
        <v>77.611940298507463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IFERROR(__xludf.DUMMYFUNCTION("IMPORTRANGE(""https://docs.google.com/spreadsheets/d/1MeEWN-I1oV_STSDYn1IFDPWt_1FKiwhDph83XaGc0o0/edit?usp=sharing"",""งบพรบ!CR82"")"),0)</f>
        <v>0</v>
      </c>
      <c r="M189" s="887">
        <f ca="1">IFERROR(__xludf.DUMMYFUNCTION("IMPORTRANGE(""https://docs.google.com/spreadsheets/d/1MeEWN-I1oV_STSDYn1IFDPWt_1FKiwhDph83XaGc0o0/edit?usp=sharing"",""งบพรบ!CU82"")"),0)</f>
        <v>0</v>
      </c>
      <c r="N189" s="887">
        <f ca="1">IFERROR(__xludf.DUMMYFUNCTION("IMPORTRANGE(""https://docs.google.com/spreadsheets/d/1MeEWN-I1oV_STSDYn1IFDPWt_1FKiwhDph83XaGc0o0/edit?usp=sharing"",""งบพรบ!CW82"")"),0)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1</v>
      </c>
      <c r="K190" s="1079">
        <f ca="1">IF(I190&gt;0,J190*100/I190,0)</f>
        <v>25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IFERROR(__xludf.DUMMYFUNCTION("IMPORTRANGE(""https://docs.google.com/spreadsheets/d/1QqKyyYR6Q21VydFLVH3TRQUabQu_ym0Zz7PgGX0-kHA/edit?usp=sharing"",""แผน!Z82"")"),6000)</f>
        <v>6000</v>
      </c>
      <c r="M191" s="992"/>
      <c r="N191" s="1081">
        <v>0</v>
      </c>
      <c r="O191" s="992">
        <f ca="1">IF(L191&gt;0,N191*100/L191,0)</f>
        <v>0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IFERROR(__xludf.DUMMYFUNCTION("IMPORTRANGE(""https://docs.google.com/spreadsheets/d/1QqKyyYR6Q21VydFLVH3TRQUabQu_ym0Zz7PgGX0-kHA/edit?usp=sharing"",""แผน!AC82"")"),4)</f>
        <v>4</v>
      </c>
      <c r="J193" s="1012">
        <v>1</v>
      </c>
      <c r="K193" s="881">
        <f ca="1">IF(I193&gt;0,J193*100/I193,0)</f>
        <v>25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34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34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2</v>
      </c>
      <c r="J197" s="1078">
        <f t="shared" si="99"/>
        <v>2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26000</v>
      </c>
      <c r="M198" s="992"/>
      <c r="N198" s="992">
        <f>N199+N200+N201+N202</f>
        <v>26000</v>
      </c>
      <c r="O198" s="992">
        <f ca="1">IF(L198&gt;0,N198*100/L198,0)</f>
        <v>100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IFERROR(__xludf.DUMMYFUNCTION("IMPORTRANGE(""https://docs.google.com/spreadsheets/d/1QqKyyYR6Q21VydFLVH3TRQUabQu_ym0Zz7PgGX0-kHA/edit?usp=sharing"",""แผน!AE82"")"),2000)</f>
        <v>2000</v>
      </c>
      <c r="M199" s="881"/>
      <c r="N199" s="1085">
        <v>856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IFERROR(__xludf.DUMMYFUNCTION("IMPORTRANGE(""https://docs.google.com/spreadsheets/d/1QqKyyYR6Q21VydFLVH3TRQUabQu_ym0Zz7PgGX0-kHA/edit?usp=sharing"",""แผน!AF82"")"),16000)</f>
        <v>16000</v>
      </c>
      <c r="M200" s="881"/>
      <c r="N200" s="1085">
        <v>17144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IFERROR(__xludf.DUMMYFUNCTION("IMPORTRANGE(""https://docs.google.com/spreadsheets/d/1QqKyyYR6Q21VydFLVH3TRQUabQu_ym0Zz7PgGX0-kHA/edit?usp=sharing"",""แผน!AG82"")"),8000)</f>
        <v>8000</v>
      </c>
      <c r="M201" s="881"/>
      <c r="N201" s="1085">
        <v>8000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IFERROR(__xludf.DUMMYFUNCTION("IMPORTRANGE(""https://docs.google.com/spreadsheets/d/1QqKyyYR6Q21VydFLVH3TRQUabQu_ym0Zz7PgGX0-kHA/edit?usp=sharing"",""แผน!AH82"")"),0)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IFERROR(__xludf.DUMMYFUNCTION("IMPORTRANGE(""https://docs.google.com/spreadsheets/d/1QqKyyYR6Q21VydFLVH3TRQUabQu_ym0Zz7PgGX0-kHA/edit?usp=sharing"",""แผน!AI82"")"),2)</f>
        <v>2</v>
      </c>
      <c r="J204" s="1012">
        <v>2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2</v>
      </c>
      <c r="J206" s="1012">
        <v>2</v>
      </c>
      <c r="K206" s="998">
        <f t="shared" ref="K206:K208" si="100">IF(I206&gt;0,J206*100/I206,0)</f>
        <v>100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IFERROR(__xludf.DUMMYFUNCTION("IMPORTRANGE(""https://docs.google.com/spreadsheets/d/1QqKyyYR6Q21VydFLVH3TRQUabQu_ym0Zz7PgGX0-kHA/edit?usp=sharing"",""แผน!AK82"")"),0)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IFERROR(__xludf.DUMMYFUNCTION("IMPORTRANGE(""https://docs.google.com/spreadsheets/d/1QqKyyYR6Q21VydFLVH3TRQUabQu_ym0Zz7PgGX0-kHA/edit?usp=sharing"",""แผน!AL82"")"),0)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IFERROR(__xludf.DUMMYFUNCTION("IMPORTRANGE(""https://docs.google.com/spreadsheets/d/1QqKyyYR6Q21VydFLVH3TRQUabQu_ym0Zz7PgGX0-kHA/edit?usp=sharing"",""แผน!AM82"")"),0)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IFERROR(__xludf.DUMMYFUNCTION("IMPORTRANGE(""https://docs.google.com/spreadsheets/d/1QqKyyYR6Q21VydFLVH3TRQUabQu_ym0Zz7PgGX0-kHA/edit?usp=sharing"",""แผน!AN82"")"),0)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IFERROR(__xludf.DUMMYFUNCTION("IMPORTRANGE(""https://docs.google.com/spreadsheets/d/1QqKyyYR6Q21VydFLVH3TRQUabQu_ym0Zz7PgGX0-kHA/edit?usp=sharing"",""แผน!AN82"")"),0)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10000</v>
      </c>
      <c r="J216" s="1078">
        <f t="shared" si="103"/>
        <v>5000</v>
      </c>
      <c r="K216" s="1079">
        <f t="shared" ca="1" si="102"/>
        <v>50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6500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IFERROR(__xludf.DUMMYFUNCTION("IMPORTRANGE(""https://docs.google.com/spreadsheets/d/1QqKyyYR6Q21VydFLVH3TRQUabQu_ym0Zz7PgGX0-kHA/edit?usp=sharing"",""แผน!AP82"")"),3000)</f>
        <v>3000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IFERROR(__xludf.DUMMYFUNCTION("IMPORTRANGE(""https://docs.google.com/spreadsheets/d/1QqKyyYR6Q21VydFLVH3TRQUabQu_ym0Zz7PgGX0-kHA/edit?usp=sharing"",""แผน!AQ82"")"),3500)</f>
        <v>3500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IFERROR(__xludf.DUMMYFUNCTION("IMPORTRANGE(""https://docs.google.com/spreadsheets/d/1QqKyyYR6Q21VydFLVH3TRQUabQu_ym0Zz7PgGX0-kHA/edit?usp=sharing"",""แผน!AR82"")"),0)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IFERROR(__xludf.DUMMYFUNCTION("IMPORTRANGE(""https://docs.google.com/spreadsheets/d/1QqKyyYR6Q21VydFLVH3TRQUabQu_ym0Zz7PgGX0-kHA/edit?usp=sharing"",""แผน!AT82"")"),10000)</f>
        <v>10000</v>
      </c>
      <c r="J223" s="1012">
        <v>10000</v>
      </c>
      <c r="K223" s="998">
        <f t="shared" ref="K223:K226" ca="1" si="104">IF(I223&gt;0,J223*100/I223,0)</f>
        <v>100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IFERROR(__xludf.DUMMYFUNCTION("IMPORTRANGE(""https://docs.google.com/spreadsheets/d/1QqKyyYR6Q21VydFLVH3TRQUabQu_ym0Zz7PgGX0-kHA/edit?usp=sharing"",""แผน!AT82"")"),10000)</f>
        <v>10000</v>
      </c>
      <c r="J224" s="1012">
        <v>5000</v>
      </c>
      <c r="K224" s="998">
        <f t="shared" ca="1" si="104"/>
        <v>50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IFERROR(__xludf.DUMMYFUNCTION("IMPORTRANGE(""https://docs.google.com/spreadsheets/d/1QqKyyYR6Q21VydFLVH3TRQUabQu_ym0Zz7PgGX0-kHA/edit?usp=sharing"",""แผน!AS82"")"),0)</f>
        <v>0</v>
      </c>
      <c r="J225" s="1012">
        <v>0</v>
      </c>
      <c r="K225" s="998">
        <f t="shared" ca="1" si="104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IFERROR(__xludf.DUMMYFUNCTION("IMPORTRANGE(""https://docs.google.com/spreadsheets/d/1QqKyyYR6Q21VydFLVH3TRQUabQu_ym0Zz7PgGX0-kHA/edit?usp=sharing"",""แผน!AV82"")"),0)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IFERROR(__xludf.DUMMYFUNCTION("IMPORTRANGE(""https://docs.google.com/spreadsheets/d/1QqKyyYR6Q21VydFLVH3TRQUabQu_ym0Zz7PgGX0-kHA/edit?usp=sharing"",""แผน!AW82"")"),0)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IFERROR(__xludf.DUMMYFUNCTION("IMPORTRANGE(""https://docs.google.com/spreadsheets/d/1QqKyyYR6Q21VydFLVH3TRQUabQu_ym0Zz7PgGX0-kHA/edit?usp=sharing"",""แผน!AX82"")"),0)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IFERROR(__xludf.DUMMYFUNCTION("IMPORTRANGE(""https://docs.google.com/spreadsheets/d/1QqKyyYR6Q21VydFLVH3TRQUabQu_ym0Zz7PgGX0-kHA/edit?usp=sharing"",""แผน!AY82"")"),0)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IFERROR(__xludf.DUMMYFUNCTION("IMPORTRANGE(""https://docs.google.com/spreadsheets/d/1QqKyyYR6Q21VydFLVH3TRQUabQu_ym0Zz7PgGX0-kHA/edit?usp=sharing"",""แผน!BE82"")"),0)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IFERROR(__xludf.DUMMYFUNCTION("IMPORTRANGE(""https://docs.google.com/spreadsheets/d/1QqKyyYR6Q21VydFLVH3TRQUabQu_ym0Zz7PgGX0-kHA/edit?usp=sharing"",""แผน!AZ82"")"),0)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IFERROR(__xludf.DUMMYFUNCTION("IMPORTRANGE(""https://docs.google.com/spreadsheets/d/1QqKyyYR6Q21VydFLVH3TRQUabQu_ym0Zz7PgGX0-kHA/edit?usp=sharing"",""แผน!BA82"")"),0)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IFERROR(__xludf.DUMMYFUNCTION("IMPORTRANGE(""https://docs.google.com/spreadsheets/d/1QqKyyYR6Q21VydFLVH3TRQUabQu_ym0Zz7PgGX0-kHA/edit?usp=sharing"",""แผน!BB82"")"),0)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IFERROR(__xludf.DUMMYFUNCTION("IMPORTRANGE(""https://docs.google.com/spreadsheets/d/1QqKyyYR6Q21VydFLVH3TRQUabQu_ym0Zz7PgGX0-kHA/edit?usp=sharing"",""แผน!BC82"")"),0)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IFERROR(__xludf.DUMMYFUNCTION("IMPORTRANGE(""https://docs.google.com/spreadsheets/d/1QqKyyYR6Q21VydFLVH3TRQUabQu_ym0Zz7PgGX0-kHA/edit?usp=sharing"",""แผน!BF82"")"),"")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20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25000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25000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25000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IFERROR(__xludf.DUMMYFUNCTION("IMPORTRANGE(""https://docs.google.com/spreadsheets/d/1MeEWN-I1oV_STSDYn1IFDPWt_1FKiwhDph83XaGc0o0/edit?usp=sharing"",""งบพรบ!CY82"")"),25000)</f>
        <v>25000</v>
      </c>
      <c r="M266" s="887">
        <f ca="1">IFERROR(__xludf.DUMMYFUNCTION("IMPORTRANGE(""https://docs.google.com/spreadsheets/d/1MeEWN-I1oV_STSDYn1IFDPWt_1FKiwhDph83XaGc0o0/edit?usp=sharing"",""งบพรบ!DD82"")"),0)</f>
        <v>0</v>
      </c>
      <c r="N266" s="887">
        <f ca="1">IFERROR(__xludf.DUMMYFUNCTION("IMPORTRANGE(""https://docs.google.com/spreadsheets/d/1MeEWN-I1oV_STSDYn1IFDPWt_1FKiwhDph83XaGc0o0/edit?usp=sharing"",""งบพรบ!DF82"")"),0)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IFERROR(__xludf.DUMMYFUNCTION("IMPORTRANGE(""https://docs.google.com/spreadsheets/d/1MeEWN-I1oV_STSDYn1IFDPWt_1FKiwhDph83XaGc0o0/edit?usp=sharing"",""งบพรบ!DB82"")"),0)</f>
        <v>0</v>
      </c>
      <c r="M269" s="887">
        <f ca="1">IFERROR(__xludf.DUMMYFUNCTION("IMPORTRANGE(""https://docs.google.com/spreadsheets/d/1MeEWN-I1oV_STSDYn1IFDPWt_1FKiwhDph83XaGc0o0/edit?usp=sharing"",""งบพรบ!DE82"")"),0)</f>
        <v>0</v>
      </c>
      <c r="N269" s="887">
        <f ca="1">IFERROR(__xludf.DUMMYFUNCTION("IMPORTRANGE(""https://docs.google.com/spreadsheets/d/1MeEWN-I1oV_STSDYn1IFDPWt_1FKiwhDph83XaGc0o0/edit?usp=sharing"",""งบพรบ!DG82"")"),0)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IFERROR(__xludf.DUMMYFUNCTION("IMPORTRANGE(""https://docs.google.com/spreadsheets/d/1QqKyyYR6Q21VydFLVH3TRQUabQu_ym0Zz7PgGX0-kHA/edit?usp=sharing"",""แผน!EA82"")"),20)</f>
        <v>20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IFERROR(__xludf.DUMMYFUNCTION("IMPORTRANGE(""https://docs.google.com/spreadsheets/d/1MeEWN-I1oV_STSDYn1IFDPWt_1FKiwhDph83XaGc0o0/edit?usp=sharing"",""งบพรบ!DI82"")"),0)</f>
        <v>0</v>
      </c>
      <c r="M282" s="887">
        <f ca="1">IFERROR(__xludf.DUMMYFUNCTION("IMPORTRANGE(""https://docs.google.com/spreadsheets/d/1MeEWN-I1oV_STSDYn1IFDPWt_1FKiwhDph83XaGc0o0/edit?usp=sharing"",""งบพรบ!DN82"")"),0)</f>
        <v>0</v>
      </c>
      <c r="N282" s="887">
        <f ca="1">IFERROR(__xludf.DUMMYFUNCTION("IMPORTRANGE(""https://docs.google.com/spreadsheets/d/1MeEWN-I1oV_STSDYn1IFDPWt_1FKiwhDph83XaGc0o0/edit?usp=sharing"",""งบพรบ!DP82"")"),0)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IFERROR(__xludf.DUMMYFUNCTION("IMPORTRANGE(""https://docs.google.com/spreadsheets/d/1MeEWN-I1oV_STSDYn1IFDPWt_1FKiwhDph83XaGc0o0/edit?usp=sharing"",""งบพรบ!DL82"")"),0)</f>
        <v>0</v>
      </c>
      <c r="M285" s="887">
        <f ca="1">IFERROR(__xludf.DUMMYFUNCTION("IMPORTRANGE(""https://docs.google.com/spreadsheets/d/1MeEWN-I1oV_STSDYn1IFDPWt_1FKiwhDph83XaGc0o0/edit?usp=sharing"",""งบพรบ!DO82"")"),0)</f>
        <v>0</v>
      </c>
      <c r="N285" s="887">
        <f ca="1">IFERROR(__xludf.DUMMYFUNCTION("IMPORTRANGE(""https://docs.google.com/spreadsheets/d/1MeEWN-I1oV_STSDYn1IFDPWt_1FKiwhDph83XaGc0o0/edit?usp=sharing"",""งบพรบ!DQ82"")"),0)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IFERROR(__xludf.DUMMYFUNCTION("IMPORTRANGE(""https://docs.google.com/spreadsheets/d/1QqKyyYR6Q21VydFLVH3TRQUabQu_ym0Zz7PgGX0-kHA/edit?usp=sharing"",""แผน!EC82"")"),0)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IFERROR(__xludf.DUMMYFUNCTION("IMPORTRANGE(""https://docs.google.com/spreadsheets/d/1QqKyyYR6Q21VydFLVH3TRQUabQu_ym0Zz7PgGX0-kHA/edit?usp=sharing"",""แผน!EB82"")"),0)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IFERROR(__xludf.DUMMYFUNCTION("IMPORTRANGE(""https://docs.google.com/spreadsheets/d/1QqKyyYR6Q21VydFLVH3TRQUabQu_ym0Zz7PgGX0-kHA/edit?usp=sharing"",""แผน!EB82"")"),0)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IFERROR(__xludf.DUMMYFUNCTION("IMPORTRANGE(""https://docs.google.com/spreadsheets/d/1QqKyyYR6Q21VydFLVH3TRQUabQu_ym0Zz7PgGX0-kHA/edit?usp=sharing"",""แผน!EB82"")"),0)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IFERROR(__xludf.DUMMYFUNCTION("IMPORTRANGE(""https://docs.google.com/spreadsheets/d/1QqKyyYR6Q21VydFLVH3TRQUabQu_ym0Zz7PgGX0-kHA/edit?usp=sharing"",""แผน!EB82"")"),0)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IFERROR(__xludf.DUMMYFUNCTION("IMPORTRANGE(""https://docs.google.com/spreadsheets/d/1QqKyyYR6Q21VydFLVH3TRQUabQu_ym0Zz7PgGX0-kHA/edit?usp=sharing"",""แผน!EB82"")"),0)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20</v>
      </c>
      <c r="J297" s="1190">
        <f t="shared" si="134"/>
        <v>20</v>
      </c>
      <c r="K297" s="1191">
        <f ca="1">IF(I297&gt;0,J297*100/I297,0)</f>
        <v>100</v>
      </c>
      <c r="L297" s="1192"/>
      <c r="M297" s="1192"/>
      <c r="N297" s="1192"/>
      <c r="O297" s="1192"/>
      <c r="P297" s="1192"/>
    </row>
    <row r="298" spans="1:26" ht="19.5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82400</v>
      </c>
      <c r="M298" s="992">
        <f t="shared" ca="1" si="135"/>
        <v>64400</v>
      </c>
      <c r="N298" s="992">
        <f t="shared" ca="1" si="135"/>
        <v>64400</v>
      </c>
      <c r="O298" s="992">
        <f t="shared" ref="O298:O306" ca="1" si="136">IF(L298&gt;0,N298*100/L298,0)</f>
        <v>78.15533980582525</v>
      </c>
      <c r="P298" s="992">
        <f t="shared" ref="P298:P306" ca="1" si="137">IF(M298&gt;0,N298*100/M298,0)</f>
        <v>100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82400</v>
      </c>
      <c r="M300" s="887">
        <f t="shared" ca="1" si="138"/>
        <v>64400</v>
      </c>
      <c r="N300" s="887">
        <f t="shared" ca="1" si="138"/>
        <v>64400</v>
      </c>
      <c r="O300" s="887">
        <f t="shared" ca="1" si="136"/>
        <v>78.15533980582525</v>
      </c>
      <c r="P300" s="887">
        <f t="shared" ca="1" si="137"/>
        <v>100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82400</v>
      </c>
      <c r="M301" s="881">
        <f t="shared" ca="1" si="139"/>
        <v>64400</v>
      </c>
      <c r="N301" s="881">
        <f t="shared" ca="1" si="139"/>
        <v>64400</v>
      </c>
      <c r="O301" s="881">
        <f t="shared" ca="1" si="136"/>
        <v>78.15533980582525</v>
      </c>
      <c r="P301" s="881">
        <f t="shared" ca="1" si="137"/>
        <v>100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IFERROR(__xludf.DUMMYFUNCTION("IMPORTRANGE(""https://docs.google.com/spreadsheets/d/1MeEWN-I1oV_STSDYn1IFDPWt_1FKiwhDph83XaGc0o0/edit?usp=sharing"",""งบพรบ!DS82"")"),82400)</f>
        <v>82400</v>
      </c>
      <c r="M303" s="887">
        <f ca="1">IFERROR(__xludf.DUMMYFUNCTION("IMPORTRANGE(""https://docs.google.com/spreadsheets/d/1MeEWN-I1oV_STSDYn1IFDPWt_1FKiwhDph83XaGc0o0/edit?usp=sharing"",""งบพรบ!DX82"")"),64400)</f>
        <v>64400</v>
      </c>
      <c r="N303" s="887">
        <f ca="1">IFERROR(__xludf.DUMMYFUNCTION("IMPORTRANGE(""https://docs.google.com/spreadsheets/d/1MeEWN-I1oV_STSDYn1IFDPWt_1FKiwhDph83XaGc0o0/edit?usp=sharing"",""งบพรบ!DZ82"")"),64400)</f>
        <v>64400</v>
      </c>
      <c r="O303" s="887">
        <f t="shared" ca="1" si="136"/>
        <v>78.15533980582525</v>
      </c>
      <c r="P303" s="887">
        <f t="shared" ca="1" si="137"/>
        <v>100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IFERROR(__xludf.DUMMYFUNCTION("IMPORTRANGE(""https://docs.google.com/spreadsheets/d/1MeEWN-I1oV_STSDYn1IFDPWt_1FKiwhDph83XaGc0o0/edit?usp=sharing"",""งบพรบ!DV82"")"),0)</f>
        <v>0</v>
      </c>
      <c r="M306" s="887">
        <f ca="1">IFERROR(__xludf.DUMMYFUNCTION("IMPORTRANGE(""https://docs.google.com/spreadsheets/d/1MeEWN-I1oV_STSDYn1IFDPWt_1FKiwhDph83XaGc0o0/edit?usp=sharing"",""งบพรบ!DY82"")"),0)</f>
        <v>0</v>
      </c>
      <c r="N306" s="887">
        <f ca="1">IFERROR(__xludf.DUMMYFUNCTION("IMPORTRANGE(""https://docs.google.com/spreadsheets/d/1MeEWN-I1oV_STSDYn1IFDPWt_1FKiwhDph83XaGc0o0/edit?usp=sharing"",""งบพรบ!EA82"")"),0)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IFERROR(__xludf.DUMMYFUNCTION("IMPORTRANGE(""https://docs.google.com/spreadsheets/d/1QqKyyYR6Q21VydFLVH3TRQUabQu_ym0Zz7PgGX0-kHA/edit?usp=sharing"",""แผน!ED82"")"),20)</f>
        <v>20</v>
      </c>
      <c r="J309" s="1012">
        <v>20</v>
      </c>
      <c r="K309" s="881">
        <f t="shared" ref="K309:K312" ca="1" si="141">IF(I309&gt;0,J309*100/I309,0)</f>
        <v>100</v>
      </c>
      <c r="L309" s="881"/>
      <c r="M309" s="881"/>
      <c r="N309" s="881"/>
      <c r="O309" s="881"/>
      <c r="P309" s="881"/>
    </row>
    <row r="310" spans="1:26" ht="18.75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IFERROR(__xludf.DUMMYFUNCTION("IMPORTRANGE(""https://docs.google.com/spreadsheets/d/1QqKyyYR6Q21VydFLVH3TRQUabQu_ym0Zz7PgGX0-kHA/edit?usp=sharing"",""แผน!ED82"")"),20)</f>
        <v>20</v>
      </c>
      <c r="J310" s="1012">
        <v>20</v>
      </c>
      <c r="K310" s="881">
        <f t="shared" ca="1" si="141"/>
        <v>100</v>
      </c>
      <c r="L310" s="881"/>
      <c r="M310" s="881"/>
      <c r="N310" s="881"/>
      <c r="O310" s="881"/>
      <c r="P310" s="881"/>
    </row>
    <row r="311" spans="1:26" ht="18.75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IFERROR(__xludf.DUMMYFUNCTION("IMPORTRANGE(""https://docs.google.com/spreadsheets/d/1QqKyyYR6Q21VydFLVH3TRQUabQu_ym0Zz7PgGX0-kHA/edit?usp=sharing"",""แผน!ED82"")"),20)</f>
        <v>20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IFERROR(__xludf.DUMMYFUNCTION("IMPORTRANGE(""https://docs.google.com/spreadsheets/d/1QqKyyYR6Q21VydFLVH3TRQUabQu_ym0Zz7PgGX0-kHA/edit?usp=sharing"",""แผน!EE82"")"),4)</f>
        <v>4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0</v>
      </c>
      <c r="J314" s="1190">
        <f t="shared" si="142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0</v>
      </c>
      <c r="M315" s="992">
        <f t="shared" ca="1" si="143"/>
        <v>0</v>
      </c>
      <c r="N315" s="992">
        <f t="shared" ca="1" si="143"/>
        <v>0</v>
      </c>
      <c r="O315" s="992">
        <f t="shared" ref="O315:O323" ca="1" si="144">IF(L315&gt;0,N315*100/L315,0)</f>
        <v>0</v>
      </c>
      <c r="P315" s="992">
        <f t="shared" ref="P315:P323" ca="1" si="145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0</v>
      </c>
      <c r="M317" s="887">
        <f t="shared" ca="1" si="146"/>
        <v>0</v>
      </c>
      <c r="N317" s="887">
        <f t="shared" ca="1" si="146"/>
        <v>0</v>
      </c>
      <c r="O317" s="887">
        <f t="shared" ca="1" si="144"/>
        <v>0</v>
      </c>
      <c r="P317" s="887">
        <f t="shared" ca="1" si="145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0</v>
      </c>
      <c r="M318" s="881">
        <f t="shared" ca="1" si="147"/>
        <v>0</v>
      </c>
      <c r="N318" s="881">
        <f t="shared" ca="1" si="147"/>
        <v>0</v>
      </c>
      <c r="O318" s="881">
        <f t="shared" ca="1" si="144"/>
        <v>0</v>
      </c>
      <c r="P318" s="881">
        <f t="shared" ca="1" si="145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IFERROR(__xludf.DUMMYFUNCTION("IMPORTRANGE(""https://docs.google.com/spreadsheets/d/1MeEWN-I1oV_STSDYn1IFDPWt_1FKiwhDph83XaGc0o0/edit?usp=sharing"",""งบพรบ!EC82"")"),0)</f>
        <v>0</v>
      </c>
      <c r="M320" s="887">
        <f ca="1">IFERROR(__xludf.DUMMYFUNCTION("IMPORTRANGE(""https://docs.google.com/spreadsheets/d/1MeEWN-I1oV_STSDYn1IFDPWt_1FKiwhDph83XaGc0o0/edit?usp=sharing"",""งบพรบ!EH82"")"),0)</f>
        <v>0</v>
      </c>
      <c r="N320" s="887">
        <f ca="1">IFERROR(__xludf.DUMMYFUNCTION("IMPORTRANGE(""https://docs.google.com/spreadsheets/d/1MeEWN-I1oV_STSDYn1IFDPWt_1FKiwhDph83XaGc0o0/edit?usp=sharing"",""งบพรบ!EJ82"")"),0)</f>
        <v>0</v>
      </c>
      <c r="O320" s="887">
        <f t="shared" ca="1" si="144"/>
        <v>0</v>
      </c>
      <c r="P320" s="887">
        <f t="shared" ca="1" si="145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IFERROR(__xludf.DUMMYFUNCTION("IMPORTRANGE(""https://docs.google.com/spreadsheets/d/1MeEWN-I1oV_STSDYn1IFDPWt_1FKiwhDph83XaGc0o0/edit?usp=sharing"",""งบพรบ!EF82"")"),0)</f>
        <v>0</v>
      </c>
      <c r="M323" s="887">
        <f ca="1">IFERROR(__xludf.DUMMYFUNCTION("IMPORTRANGE(""https://docs.google.com/spreadsheets/d/1MeEWN-I1oV_STSDYn1IFDPWt_1FKiwhDph83XaGc0o0/edit?usp=sharing"",""งบพรบ!EI82"")"),0)</f>
        <v>0</v>
      </c>
      <c r="N323" s="887">
        <f ca="1">IFERROR(__xludf.DUMMYFUNCTION("IMPORTRANGE(""https://docs.google.com/spreadsheets/d/1MeEWN-I1oV_STSDYn1IFDPWt_1FKiwhDph83XaGc0o0/edit?usp=sharing"",""งบพรบ!EK82"")"),0)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IFERROR(__xludf.DUMMYFUNCTION("IMPORTRANGE(""https://docs.google.com/spreadsheets/d/1QqKyyYR6Q21VydFLVH3TRQUabQu_ym0Zz7PgGX0-kHA/edit?usp=sharing"",""แผน!EF82"")"),0)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IFERROR(__xludf.DUMMYFUNCTION("IMPORTRANGE(""https://docs.google.com/spreadsheets/d/1QqKyyYR6Q21VydFLVH3TRQUabQu_ym0Zz7PgGX0-kHA/edit?usp=sharing"",""แผน!EG82"")"),1200)</f>
        <v>1200</v>
      </c>
      <c r="J327" s="1190">
        <f ca="1">J338+J341+J342+J343</f>
        <v>1206</v>
      </c>
      <c r="K327" s="1191">
        <f ca="1">IF(I327&gt;0,J327*100/I327,0)</f>
        <v>100.5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162000</v>
      </c>
      <c r="M328" s="992">
        <f t="shared" ca="1" si="149"/>
        <v>124000</v>
      </c>
      <c r="N328" s="992">
        <f t="shared" ca="1" si="149"/>
        <v>65116</v>
      </c>
      <c r="O328" s="992">
        <f t="shared" ref="O328:O336" ca="1" si="150">IF(L328&gt;0,N328*100/L328,0)</f>
        <v>40.195061728395061</v>
      </c>
      <c r="P328" s="992">
        <f t="shared" ref="P328:P336" ca="1" si="151">IF(M328&gt;0,N328*100/M328,0)</f>
        <v>52.512903225806454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162000</v>
      </c>
      <c r="M330" s="887">
        <f t="shared" ca="1" si="152"/>
        <v>124000</v>
      </c>
      <c r="N330" s="887">
        <f t="shared" ca="1" si="152"/>
        <v>65116</v>
      </c>
      <c r="O330" s="887">
        <f t="shared" ca="1" si="150"/>
        <v>40.195061728395061</v>
      </c>
      <c r="P330" s="887">
        <f t="shared" ca="1" si="151"/>
        <v>52.512903225806454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162000</v>
      </c>
      <c r="M331" s="881">
        <f t="shared" ca="1" si="153"/>
        <v>124000</v>
      </c>
      <c r="N331" s="881">
        <f t="shared" ca="1" si="153"/>
        <v>65116</v>
      </c>
      <c r="O331" s="881">
        <f t="shared" ca="1" si="150"/>
        <v>40.195061728395061</v>
      </c>
      <c r="P331" s="881">
        <f t="shared" ca="1" si="151"/>
        <v>52.512903225806454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IFERROR(__xludf.DUMMYFUNCTION("IMPORTRANGE(""https://docs.google.com/spreadsheets/d/1MeEWN-I1oV_STSDYn1IFDPWt_1FKiwhDph83XaGc0o0/edit?usp=sharing"",""งบพรบ!EM82"")"),162000)</f>
        <v>162000</v>
      </c>
      <c r="M333" s="887">
        <f ca="1">IFERROR(__xludf.DUMMYFUNCTION("IMPORTRANGE(""https://docs.google.com/spreadsheets/d/1MeEWN-I1oV_STSDYn1IFDPWt_1FKiwhDph83XaGc0o0/edit?usp=sharing"",""งบพรบ!ER82"")"),124000)</f>
        <v>124000</v>
      </c>
      <c r="N333" s="887">
        <f ca="1">IFERROR(__xludf.DUMMYFUNCTION("IMPORTRANGE(""https://docs.google.com/spreadsheets/d/1MeEWN-I1oV_STSDYn1IFDPWt_1FKiwhDph83XaGc0o0/edit?usp=sharing"",""งบพรบ!ET82"")"),65116)</f>
        <v>65116</v>
      </c>
      <c r="O333" s="887">
        <f t="shared" ca="1" si="150"/>
        <v>40.195061728395061</v>
      </c>
      <c r="P333" s="887">
        <f t="shared" ca="1" si="151"/>
        <v>52.512903225806454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IFERROR(__xludf.DUMMYFUNCTION("IMPORTRANGE(""https://docs.google.com/spreadsheets/d/1MeEWN-I1oV_STSDYn1IFDPWt_1FKiwhDph83XaGc0o0/edit?usp=sharing"",""งบพรบ!EP82"")"),0)</f>
        <v>0</v>
      </c>
      <c r="M336" s="887">
        <f ca="1">IFERROR(__xludf.DUMMYFUNCTION("IMPORTRANGE(""https://docs.google.com/spreadsheets/d/1MeEWN-I1oV_STSDYn1IFDPWt_1FKiwhDph83XaGc0o0/edit?usp=sharing"",""งบพรบ!ES82"")"),0)</f>
        <v>0</v>
      </c>
      <c r="N336" s="887">
        <f ca="1">IFERROR(__xludf.DUMMYFUNCTION("IMPORTRANGE(""https://docs.google.com/spreadsheets/d/1MeEWN-I1oV_STSDYn1IFDPWt_1FKiwhDph83XaGc0o0/edit?usp=sharing"",""งบพรบ!EU82"")"),0)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IFERROR(__xludf.DUMMYFUNCTION("IMPORTRANGE(""https://docs.google.com/spreadsheets/d/1QqKyyYR6Q21VydFLVH3TRQUabQu_ym0Zz7PgGX0-kHA/edit?usp=sharing"",""แผน!EG82"")"),1200)</f>
        <v>1200</v>
      </c>
      <c r="J338" s="880">
        <f ca="1">IFERROR(__xludf.DUMMYFUNCTION("IMPORTRANGE(""https://docs.google.com/spreadsheets/d/1kVcqe37tkHyjCSG3S0O1AXqVkqjo8mSIZil3BcpIysc/edit?usp=sharing"",""ศูนย์!D82"")"),1129)</f>
        <v>1129</v>
      </c>
      <c r="K338" s="881">
        <f ca="1">IF(I338&gt;0,J338*100/I338,0)</f>
        <v>94.083333333333329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IFERROR(__xludf.DUMMYFUNCTION("IMPORTRANGE(""https://docs.google.com/spreadsheets/d/1QqKyyYR6Q21VydFLVH3TRQUabQu_ym0Zz7PgGX0-kHA/edit?usp=sharing"",""แผน!EH82"")"),2)</f>
        <v>2</v>
      </c>
      <c r="J340" s="880">
        <f ca="1">IFERROR(__xludf.DUMMYFUNCTION("IMPORTRANGE(""https://docs.google.com/spreadsheets/d/1kVcqe37tkHyjCSG3S0O1AXqVkqjo8mSIZil3BcpIysc/edit?usp=sharing"",""ศูนย์!E82"")"),2)</f>
        <v>2</v>
      </c>
      <c r="K340" s="881">
        <f ca="1">IF(I340&gt;0,J340*100/I340,0)</f>
        <v>100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IFERROR(__xludf.DUMMYFUNCTION("IMPORTRANGE(""https://docs.google.com/spreadsheets/d/1kVcqe37tkHyjCSG3S0O1AXqVkqjo8mSIZil3BcpIysc/edit?usp=sharing"",""ศูนย์!F82"")"),77)</f>
        <v>77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IFERROR(__xludf.DUMMYFUNCTION("IMPORTRANGE(""https://docs.google.com/spreadsheets/d/1kVcqe37tkHyjCSG3S0O1AXqVkqjo8mSIZil3BcpIysc/edit?usp=sharing"",""ศูนย์!G82"")"),0)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IFERROR(__xludf.DUMMYFUNCTION("IMPORTRANGE(""https://docs.google.com/spreadsheets/d/1kVcqe37tkHyjCSG3S0O1AXqVkqjo8mSIZil3BcpIysc/edit?usp=sharing"",""ศูนย์!H82"")"),0)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444870</v>
      </c>
      <c r="M345" s="992">
        <f t="shared" ca="1" si="155"/>
        <v>358020</v>
      </c>
      <c r="N345" s="992">
        <f t="shared" ca="1" si="155"/>
        <v>221725.7</v>
      </c>
      <c r="O345" s="992">
        <f t="shared" ref="O345:O353" ca="1" si="156">IF(L345&gt;0,N345*100/L345,0)</f>
        <v>49.84056016364331</v>
      </c>
      <c r="P345" s="992">
        <f t="shared" ref="P345:P353" ca="1" si="157">IF(M345&gt;0,N345*100/M345,0)</f>
        <v>61.931093235014806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444870</v>
      </c>
      <c r="M347" s="887">
        <f t="shared" ca="1" si="158"/>
        <v>358020</v>
      </c>
      <c r="N347" s="887">
        <f t="shared" ca="1" si="158"/>
        <v>221725.7</v>
      </c>
      <c r="O347" s="887">
        <f t="shared" ca="1" si="156"/>
        <v>49.84056016364331</v>
      </c>
      <c r="P347" s="887">
        <f t="shared" ca="1" si="157"/>
        <v>61.931093235014806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399870</v>
      </c>
      <c r="M348" s="881">
        <f t="shared" ca="1" si="159"/>
        <v>313020</v>
      </c>
      <c r="N348" s="881">
        <f t="shared" ca="1" si="159"/>
        <v>176725.7</v>
      </c>
      <c r="O348" s="881">
        <f t="shared" ca="1" si="156"/>
        <v>44.195788631305177</v>
      </c>
      <c r="P348" s="881">
        <f t="shared" ca="1" si="157"/>
        <v>56.458277426362535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IFERROR(__xludf.DUMMYFUNCTION("IMPORTRANGE(""https://docs.google.com/spreadsheets/d/1MeEWN-I1oV_STSDYn1IFDPWt_1FKiwhDph83XaGc0o0/edit?usp=sharing"",""งบพรบ!EW82"")"),399870)</f>
        <v>399870</v>
      </c>
      <c r="M350" s="887">
        <f ca="1">IFERROR(__xludf.DUMMYFUNCTION("IMPORTRANGE(""https://docs.google.com/spreadsheets/d/1MeEWN-I1oV_STSDYn1IFDPWt_1FKiwhDph83XaGc0o0/edit?usp=sharing"",""งบพรบ!FB82"")"),313020)</f>
        <v>313020</v>
      </c>
      <c r="N350" s="887">
        <f ca="1">IFERROR(__xludf.DUMMYFUNCTION("IMPORTRANGE(""https://docs.google.com/spreadsheets/d/1MeEWN-I1oV_STSDYn1IFDPWt_1FKiwhDph83XaGc0o0/edit?usp=sharing"",""งบพรบ!FD82"")"),176725.7)</f>
        <v>176725.7</v>
      </c>
      <c r="O350" s="887">
        <f t="shared" ca="1" si="156"/>
        <v>44.195788631305177</v>
      </c>
      <c r="P350" s="887">
        <f t="shared" ca="1" si="157"/>
        <v>56.458277426362535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45000</v>
      </c>
      <c r="M351" s="881">
        <f t="shared" ca="1" si="160"/>
        <v>45000</v>
      </c>
      <c r="N351" s="881">
        <f t="shared" ca="1" si="160"/>
        <v>45000</v>
      </c>
      <c r="O351" s="881">
        <f t="shared" ca="1" si="156"/>
        <v>100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IFERROR(__xludf.DUMMYFUNCTION("IMPORTRANGE(""https://docs.google.com/spreadsheets/d/1MeEWN-I1oV_STSDYn1IFDPWt_1FKiwhDph83XaGc0o0/edit?usp=sharing"",""งบพรบ!EZ82"")"),45000)</f>
        <v>45000</v>
      </c>
      <c r="M353" s="887">
        <f ca="1">IFERROR(__xludf.DUMMYFUNCTION("IMPORTRANGE(""https://docs.google.com/spreadsheets/d/1MeEWN-I1oV_STSDYn1IFDPWt_1FKiwhDph83XaGc0o0/edit?usp=sharing"",""งบพรบ!FC82"")"),45000)</f>
        <v>45000</v>
      </c>
      <c r="N353" s="887">
        <f ca="1">IFERROR(__xludf.DUMMYFUNCTION("IMPORTRANGE(""https://docs.google.com/spreadsheets/d/1MeEWN-I1oV_STSDYn1IFDPWt_1FKiwhDph83XaGc0o0/edit?usp=sharing"",""งบพรบ!FE82"")"),45000)</f>
        <v>45000</v>
      </c>
      <c r="O353" s="887">
        <f t="shared" ca="1" si="156"/>
        <v>100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IFERROR(__xludf.DUMMYFUNCTION("IMPORTRANGE(""https://docs.google.com/spreadsheets/d/1QqKyyYR6Q21VydFLVH3TRQUabQu_ym0Zz7PgGX0-kHA/edit?usp=sharing"",""แผน!EP82"")"),127)</f>
        <v>127</v>
      </c>
      <c r="J355" s="1206">
        <f ca="1">J362</f>
        <v>36</v>
      </c>
      <c r="K355" s="1207">
        <f ca="1">IF(I355&gt;0,J355*100/I355,0)</f>
        <v>28.346456692913385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IFERROR(__xludf.DUMMYFUNCTION("IMPORTRANGE(""https://docs.google.com/spreadsheets/d/1XWAQStnk-4SwqDmLtmXYiTMKHgktTP8We1SCoS47DrQ/edit?usp=sharing"",""จัดที่ดิน!W82"")"),16)</f>
        <v>16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IFERROR(__xludf.DUMMYFUNCTION("IMPORTRANGE(""https://docs.google.com/spreadsheets/d/1QqKyyYR6Q21VydFLVH3TRQUabQu_ym0Zz7PgGX0-kHA/edit?usp=sharing"",""แผน!EO82"")"),970)</f>
        <v>970</v>
      </c>
      <c r="J359" s="880">
        <f ca="1">IFERROR(__xludf.DUMMYFUNCTION("IMPORTRANGE(""https://docs.google.com/spreadsheets/d/1XWAQStnk-4SwqDmLtmXYiTMKHgktTP8We1SCoS47DrQ/edit?usp=sharing"",""จัดที่ดิน!X82"")"),57.33)</f>
        <v>57.33</v>
      </c>
      <c r="K359" s="881">
        <f t="shared" ca="1" si="161"/>
        <v>5.9103092783505158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IFERROR(__xludf.DUMMYFUNCTION("IMPORTRANGE(""https://docs.google.com/spreadsheets/d/1QqKyyYR6Q21VydFLVH3TRQUabQu_ym0Zz7PgGX0-kHA/edit?usp=sharing"",""แผน!EP82"")"),127)</f>
        <v>127</v>
      </c>
      <c r="J360" s="880">
        <f ca="1">IFERROR(__xludf.DUMMYFUNCTION("IMPORTRANGE(""https://docs.google.com/spreadsheets/d/1XWAQStnk-4SwqDmLtmXYiTMKHgktTP8We1SCoS47DrQ/edit?usp=sharing"",""จัดที่ดิน!Y82"")"),36)</f>
        <v>36</v>
      </c>
      <c r="K360" s="881">
        <f t="shared" ca="1" si="161"/>
        <v>28.346456692913385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IFERROR(__xludf.DUMMYFUNCTION("IMPORTRANGE(""https://docs.google.com/spreadsheets/d/1XWAQStnk-4SwqDmLtmXYiTMKHgktTP8We1SCoS47DrQ/edit?usp=sharing"",""จัดที่ดิน!Z82"")"),96.96)</f>
        <v>96.96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IFERROR(__xludf.DUMMYFUNCTION("IMPORTRANGE(""https://docs.google.com/spreadsheets/d/1QqKyyYR6Q21VydFLVH3TRQUabQu_ym0Zz7PgGX0-kHA/edit?usp=sharing"",""แผน!EP82"")"),127)</f>
        <v>127</v>
      </c>
      <c r="J362" s="880">
        <f ca="1">IFERROR(__xludf.DUMMYFUNCTION("IMPORTRANGE(""https://docs.google.com/spreadsheets/d/1XWAQStnk-4SwqDmLtmXYiTMKHgktTP8We1SCoS47DrQ/edit?usp=sharing"",""จัดที่ดิน!AA82"")"),36)</f>
        <v>36</v>
      </c>
      <c r="K362" s="881">
        <f t="shared" ca="1" si="161"/>
        <v>28.346456692913385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IFERROR(__xludf.DUMMYFUNCTION("IMPORTRANGE(""https://docs.google.com/spreadsheets/d/1XWAQStnk-4SwqDmLtmXYiTMKHgktTP8We1SCoS47DrQ/edit?usp=sharing"",""จัดที่ดิน!AB82"")"),96.96)</f>
        <v>96.96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267</v>
      </c>
      <c r="J364" s="1219">
        <f t="shared" ca="1" si="162"/>
        <v>162</v>
      </c>
      <c r="K364" s="1220">
        <f t="shared" ca="1" si="161"/>
        <v>60.674157303370784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IFERROR(__xludf.DUMMYFUNCTION("IMPORTRANGE(""https://docs.google.com/spreadsheets/d/1QqKyyYR6Q21VydFLVH3TRQUabQu_ym0Zz7PgGX0-kHA/edit?usp=sharing"",""แผน!EJ82"")"),67)</f>
        <v>67</v>
      </c>
      <c r="J365" s="1227">
        <f ca="1">J372</f>
        <v>26</v>
      </c>
      <c r="K365" s="1228">
        <f t="shared" ca="1" si="161"/>
        <v>38.805970149253731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IFERROR(__xludf.DUMMYFUNCTION("IMPORTRANGE(""https://docs.google.com/spreadsheets/d/1XWAQStnk-4SwqDmLtmXYiTMKHgktTP8We1SCoS47DrQ/edit?usp=sharing"",""จัดที่ดิน!E82"")"),6)</f>
        <v>6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IFERROR(__xludf.DUMMYFUNCTION("IMPORTRANGE(""https://docs.google.com/spreadsheets/d/1QqKyyYR6Q21VydFLVH3TRQUabQu_ym0Zz7PgGX0-kHA/edit?usp=sharing"",""แผน!EI82"")"),670)</f>
        <v>670</v>
      </c>
      <c r="J369" s="880">
        <f ca="1">IFERROR(__xludf.DUMMYFUNCTION("IMPORTRANGE(""https://docs.google.com/spreadsheets/d/1XWAQStnk-4SwqDmLtmXYiTMKHgktTP8We1SCoS47DrQ/edit?usp=sharing"",""จัดที่ดิน!F82"")"),26.79)</f>
        <v>26.79</v>
      </c>
      <c r="K369" s="881">
        <f t="shared" ca="1" si="163"/>
        <v>3.9985074626865673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IFERROR(__xludf.DUMMYFUNCTION("IMPORTRANGE(""https://docs.google.com/spreadsheets/d/1QqKyyYR6Q21VydFLVH3TRQUabQu_ym0Zz7PgGX0-kHA/edit?usp=sharing"",""แผน!EJ82"")"),67)</f>
        <v>67</v>
      </c>
      <c r="J370" s="880">
        <f ca="1">IFERROR(__xludf.DUMMYFUNCTION("IMPORTRANGE(""https://docs.google.com/spreadsheets/d/1XWAQStnk-4SwqDmLtmXYiTMKHgktTP8We1SCoS47DrQ/edit?usp=sharing"",""จัดที่ดิน!G82"")"),26)</f>
        <v>26</v>
      </c>
      <c r="K370" s="881">
        <f t="shared" ca="1" si="163"/>
        <v>38.805970149253731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IFERROR(__xludf.DUMMYFUNCTION("IMPORTRANGE(""https://docs.google.com/spreadsheets/d/1XWAQStnk-4SwqDmLtmXYiTMKHgktTP8We1SCoS47DrQ/edit?usp=sharing"",""จัดที่ดิน!H82"")"),66.42)</f>
        <v>66.42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IFERROR(__xludf.DUMMYFUNCTION("IMPORTRANGE(""https://docs.google.com/spreadsheets/d/1QqKyyYR6Q21VydFLVH3TRQUabQu_ym0Zz7PgGX0-kHA/edit?usp=sharing"",""แผน!EJ82"")"),67)</f>
        <v>67</v>
      </c>
      <c r="J372" s="880">
        <f ca="1">IFERROR(__xludf.DUMMYFUNCTION("IMPORTRANGE(""https://docs.google.com/spreadsheets/d/1XWAQStnk-4SwqDmLtmXYiTMKHgktTP8We1SCoS47DrQ/edit?usp=sharing"",""จัดที่ดิน!I82"")"),26)</f>
        <v>26</v>
      </c>
      <c r="K372" s="881">
        <f t="shared" ca="1" si="163"/>
        <v>38.805970149253731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IFERROR(__xludf.DUMMYFUNCTION("IMPORTRANGE(""https://docs.google.com/spreadsheets/d/1XWAQStnk-4SwqDmLtmXYiTMKHgktTP8We1SCoS47DrQ/edit?usp=sharing"",""จัดที่ดิน!J82"")"),66.42)</f>
        <v>66.42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IFERROR(__xludf.DUMMYFUNCTION("IMPORTRANGE(""https://docs.google.com/spreadsheets/d/1QqKyyYR6Q21VydFLVH3TRQUabQu_ym0Zz7PgGX0-kHA/edit?usp=sharing"",""แผน!EU82"")"),200)</f>
        <v>200</v>
      </c>
      <c r="J374" s="1227">
        <f ca="1">J381</f>
        <v>136</v>
      </c>
      <c r="K374" s="1228">
        <f t="shared" ca="1" si="163"/>
        <v>68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IFERROR(__xludf.DUMMYFUNCTION("IMPORTRANGE(""https://docs.google.com/spreadsheets/d/1XWAQStnk-4SwqDmLtmXYiTMKHgktTP8We1SCoS47DrQ/edit?usp=sharing"",""จัดที่ดิน!AH82"")"),10)</f>
        <v>10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IFERROR(__xludf.DUMMYFUNCTION("IMPORTRANGE(""https://docs.google.com/spreadsheets/d/1QqKyyYR6Q21VydFLVH3TRQUabQu_ym0Zz7PgGX0-kHA/edit?usp=sharing"",""แผน!ET82"")"),300)</f>
        <v>300</v>
      </c>
      <c r="J378" s="880">
        <f ca="1">IFERROR(__xludf.DUMMYFUNCTION("IMPORTRANGE(""https://docs.google.com/spreadsheets/d/1XWAQStnk-4SwqDmLtmXYiTMKHgktTP8We1SCoS47DrQ/edit?usp=sharing"",""จัดที่ดิน!AI82"")"),30.54)</f>
        <v>30.54</v>
      </c>
      <c r="K378" s="881">
        <f t="shared" ca="1" si="164"/>
        <v>10.18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IFERROR(__xludf.DUMMYFUNCTION("IMPORTRANGE(""https://docs.google.com/spreadsheets/d/1QqKyyYR6Q21VydFLVH3TRQUabQu_ym0Zz7PgGX0-kHA/edit?usp=sharing"",""แผน!EU82"")"),200)</f>
        <v>200</v>
      </c>
      <c r="J379" s="880">
        <f ca="1">IFERROR(__xludf.DUMMYFUNCTION("IMPORTRANGE(""https://docs.google.com/spreadsheets/d/1XWAQStnk-4SwqDmLtmXYiTMKHgktTP8We1SCoS47DrQ/edit?usp=sharing"",""จัดที่ดิน!AJ82"")"),136)</f>
        <v>136</v>
      </c>
      <c r="K379" s="881">
        <f t="shared" ca="1" si="164"/>
        <v>68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IFERROR(__xludf.DUMMYFUNCTION("IMPORTRANGE(""https://docs.google.com/spreadsheets/d/1XWAQStnk-4SwqDmLtmXYiTMKHgktTP8We1SCoS47DrQ/edit?usp=sharing"",""จัดที่ดิน!AK82"")"),915.02)</f>
        <v>915.02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IFERROR(__xludf.DUMMYFUNCTION("IMPORTRANGE(""https://docs.google.com/spreadsheets/d/1QqKyyYR6Q21VydFLVH3TRQUabQu_ym0Zz7PgGX0-kHA/edit?usp=sharing"",""แผน!EU82"")"),200)</f>
        <v>200</v>
      </c>
      <c r="J381" s="880">
        <f ca="1">IFERROR(__xludf.DUMMYFUNCTION("IMPORTRANGE(""https://docs.google.com/spreadsheets/d/1XWAQStnk-4SwqDmLtmXYiTMKHgktTP8We1SCoS47DrQ/edit?usp=sharing"",""จัดที่ดิน!AL82"")"),136)</f>
        <v>136</v>
      </c>
      <c r="K381" s="881">
        <f t="shared" ca="1" si="164"/>
        <v>68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IFERROR(__xludf.DUMMYFUNCTION("IMPORTRANGE(""https://docs.google.com/spreadsheets/d/1XWAQStnk-4SwqDmLtmXYiTMKHgktTP8We1SCoS47DrQ/edit?usp=sharing"",""จัดที่ดิน!AM82"")"),915.02)</f>
        <v>915.02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IFERROR(__xludf.DUMMYFUNCTION("IMPORTRANGE(""https://docs.google.com/spreadsheets/d/1QqKyyYR6Q21VydFLVH3TRQUabQu_ym0Zz7PgGX0-kHA/edit?usp=sharing"",""แผน!EW82"")"),10)</f>
        <v>10</v>
      </c>
      <c r="J385" s="1138">
        <f ca="1">IFERROR(__xludf.DUMMYFUNCTION("IMPORTRANGE(""https://docs.google.com/spreadsheets/d/1XWAQStnk-4SwqDmLtmXYiTMKHgktTP8We1SCoS47DrQ/edit?usp=sharing"",""จัดที่ดิน!AP82"")"),3)</f>
        <v>3</v>
      </c>
      <c r="K385" s="1239">
        <f ca="1">IF(I385&gt;0,J385*100/I385,0)</f>
        <v>30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IFERROR(__xludf.DUMMYFUNCTION("IMPORTRANGE(""https://docs.google.com/spreadsheets/d/1MeEWN-I1oV_STSDYn1IFDPWt_1FKiwhDph83XaGc0o0/edit?usp=sharing"",""งบพรบ!FG82"")"),0)</f>
        <v>0</v>
      </c>
      <c r="M394" s="887">
        <f ca="1">IFERROR(__xludf.DUMMYFUNCTION("IMPORTRANGE(""https://docs.google.com/spreadsheets/d/1MeEWN-I1oV_STSDYn1IFDPWt_1FKiwhDph83XaGc0o0/edit?usp=sharing"",""งบพรบ!FL82"")"),0)</f>
        <v>0</v>
      </c>
      <c r="N394" s="887">
        <f ca="1">IFERROR(__xludf.DUMMYFUNCTION("IMPORTRANGE(""https://docs.google.com/spreadsheets/d/1MeEWN-I1oV_STSDYn1IFDPWt_1FKiwhDph83XaGc0o0/edit?usp=sharing"",""งบพรบ!FN82"")"),0)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IFERROR(__xludf.DUMMYFUNCTION("IMPORTRANGE(""https://docs.google.com/spreadsheets/d/1MeEWN-I1oV_STSDYn1IFDPWt_1FKiwhDph83XaGc0o0/edit?usp=sharing"",""งบพรบ!FJ82"")"),0)</f>
        <v>0</v>
      </c>
      <c r="M397" s="887">
        <f ca="1">IFERROR(__xludf.DUMMYFUNCTION("IMPORTRANGE(""https://docs.google.com/spreadsheets/d/1MeEWN-I1oV_STSDYn1IFDPWt_1FKiwhDph83XaGc0o0/edit?usp=sharing"",""งบพรบ!FM82"")"),0)</f>
        <v>0</v>
      </c>
      <c r="N397" s="887">
        <f ca="1">IFERROR(__xludf.DUMMYFUNCTION("IMPORTRANGE(""https://docs.google.com/spreadsheets/d/1MeEWN-I1oV_STSDYn1IFDPWt_1FKiwhDph83XaGc0o0/edit?usp=sharing"",""งบพรบ!FO82"")"),0)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IFERROR(__xludf.DUMMYFUNCTION("IMPORTRANGE(""https://docs.google.com/spreadsheets/d/1MeEWN-I1oV_STSDYn1IFDPWt_1FKiwhDph83XaGc0o0/edit?usp=sharing"",""งบพรบ!FQ82"")"),0)</f>
        <v>0</v>
      </c>
      <c r="M407" s="887">
        <f ca="1">IFERROR(__xludf.DUMMYFUNCTION("IMPORTRANGE(""https://docs.google.com/spreadsheets/d/1MeEWN-I1oV_STSDYn1IFDPWt_1FKiwhDph83XaGc0o0/edit?usp=sharing"",""งบพรบ!FV82"")"),0)</f>
        <v>0</v>
      </c>
      <c r="N407" s="887">
        <f ca="1">IFERROR(__xludf.DUMMYFUNCTION("IMPORTRANGE(""https://docs.google.com/spreadsheets/d/1MeEWN-I1oV_STSDYn1IFDPWt_1FKiwhDph83XaGc0o0/edit?usp=sharing"",""งบพรบ!FX82"")"),0)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IFERROR(__xludf.DUMMYFUNCTION("IMPORTRANGE(""https://docs.google.com/spreadsheets/d/1MeEWN-I1oV_STSDYn1IFDPWt_1FKiwhDph83XaGc0o0/edit?usp=sharing"",""งบพรบ!FT82"")"),0)</f>
        <v>0</v>
      </c>
      <c r="M410" s="887">
        <f ca="1">IFERROR(__xludf.DUMMYFUNCTION("IMPORTRANGE(""https://docs.google.com/spreadsheets/d/1MeEWN-I1oV_STSDYn1IFDPWt_1FKiwhDph83XaGc0o0/edit?usp=sharing"",""งบพรบ!FW82"")"),0)</f>
        <v>0</v>
      </c>
      <c r="N410" s="887">
        <f ca="1">IFERROR(__xludf.DUMMYFUNCTION("IMPORTRANGE(""https://docs.google.com/spreadsheets/d/1MeEWN-I1oV_STSDYn1IFDPWt_1FKiwhDph83XaGc0o0/edit?usp=sharing"",""งบพรบ!FY82"")"),0)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1272608</v>
      </c>
      <c r="M414" s="1281">
        <f t="shared" ca="1" si="181"/>
        <v>1272608</v>
      </c>
      <c r="N414" s="1281">
        <f t="shared" si="181"/>
        <v>618262.12</v>
      </c>
      <c r="O414" s="1281">
        <f ca="1">IF(L414&gt;0,N414*100/L414,0)</f>
        <v>48.582290854685809</v>
      </c>
      <c r="P414" s="1281">
        <f ca="1">IF(M414&gt;0,N414*100/M414,0)</f>
        <v>48.582290854685809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15</v>
      </c>
      <c r="J417" s="1294">
        <f t="shared" ca="1" si="182"/>
        <v>15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92760</v>
      </c>
      <c r="M419" s="992">
        <f t="shared" ca="1" si="184"/>
        <v>92760</v>
      </c>
      <c r="N419" s="992">
        <f t="shared" si="184"/>
        <v>83750</v>
      </c>
      <c r="O419" s="992">
        <f t="shared" ref="O419:O424" ca="1" si="185">IF(L419&gt;0,N419*100/L419,0)</f>
        <v>90.286761535144464</v>
      </c>
      <c r="P419" s="992">
        <f t="shared" ref="P419:P424" ca="1" si="186">IF(M419&gt;0,N419*100/M419,0)</f>
        <v>90.286761535144464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92760</v>
      </c>
      <c r="M421" s="887">
        <f t="shared" ca="1" si="187"/>
        <v>92760</v>
      </c>
      <c r="N421" s="887">
        <f t="shared" si="187"/>
        <v>83750</v>
      </c>
      <c r="O421" s="887">
        <f t="shared" ca="1" si="185"/>
        <v>90.286761535144464</v>
      </c>
      <c r="P421" s="887">
        <f t="shared" ca="1" si="186"/>
        <v>90.286761535144464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92760</v>
      </c>
      <c r="M422" s="881">
        <f t="shared" ca="1" si="188"/>
        <v>92760</v>
      </c>
      <c r="N422" s="881">
        <f t="shared" si="188"/>
        <v>83750</v>
      </c>
      <c r="O422" s="881">
        <f t="shared" ca="1" si="185"/>
        <v>90.286761535144464</v>
      </c>
      <c r="P422" s="881">
        <f t="shared" ca="1" si="186"/>
        <v>90.286761535144464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IFERROR(__xludf.DUMMYFUNCTION("IMPORTRANGE(""https://docs.google.com/spreadsheets/d/1QqKyyYR6Q21VydFLVH3TRQUabQu_ym0Zz7PgGX0-kHA/edit?usp=sharing"",""แผน!EY82"")"),92760)</f>
        <v>92760</v>
      </c>
      <c r="M424" s="887">
        <f ca="1">L424</f>
        <v>92760</v>
      </c>
      <c r="N424" s="887">
        <f>N425+N426+N427+N428</f>
        <v>83750</v>
      </c>
      <c r="O424" s="887">
        <f t="shared" ca="1" si="185"/>
        <v>90.286761535144464</v>
      </c>
      <c r="P424" s="887">
        <f t="shared" ca="1" si="186"/>
        <v>90.286761535144464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36640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47110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IFERROR(__xludf.DUMMYFUNCTION("IMPORTRANGE(""https://docs.google.com/spreadsheets/d/1QqKyyYR6Q21VydFLVH3TRQUabQu_ym0Zz7PgGX0-kHA/edit?usp=sharing"",""แผน!FB82"")"),0)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15</v>
      </c>
      <c r="J433" s="1019">
        <f ca="1">IF(AND(J435=I435,J437=I437,J439=I439),I437+I439,IF(AND(J435=I437,J437=I437),I437,IF(AND(J435=I439,J439=I439),I439,0)))</f>
        <v>15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IFERROR(__xludf.DUMMYFUNCTION("IMPORTRANGE(""https://docs.google.com/spreadsheets/d/1QqKyyYR6Q21VydFLVH3TRQUabQu_ym0Zz7PgGX0-kHA/edit?usp=sharing"",""แผน!FC82"")"),15)</f>
        <v>15</v>
      </c>
      <c r="J435" s="583">
        <v>15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IFERROR(__xludf.DUMMYFUNCTION("IMPORTRANGE(""https://docs.google.com/spreadsheets/d/1QqKyyYR6Q21VydFLVH3TRQUabQu_ym0Zz7PgGX0-kHA/edit?usp=sharing"",""แผน!FD82"")"),0)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IFERROR(__xludf.DUMMYFUNCTION("IMPORTRANGE(""https://docs.google.com/spreadsheets/d/1QqKyyYR6Q21VydFLVH3TRQUabQu_ym0Zz7PgGX0-kHA/edit?usp=sharing"",""แผน!FE82"")"),0)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IFERROR(__xludf.DUMMYFUNCTION("IMPORTRANGE(""https://docs.google.com/spreadsheets/d/1QqKyyYR6Q21VydFLVH3TRQUabQu_ym0Zz7PgGX0-kHA/edit?usp=sharing"",""แผน!FF82"")"),15)</f>
        <v>15</v>
      </c>
      <c r="J439" s="1012">
        <v>15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IFERROR(__xludf.DUMMYFUNCTION("IMPORTRANGE(""https://docs.google.com/spreadsheets/d/1QqKyyYR6Q21VydFLVH3TRQUabQu_ym0Zz7PgGX0-kHA/edit?usp=sharing"",""แผน!FG82"")"),1)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IFERROR(__xludf.DUMMYFUNCTION("IMPORTRANGE(""https://docs.google.com/spreadsheets/d/1QqKyyYR6Q21VydFLVH3TRQUabQu_ym0Zz7PgGX0-kHA/edit?usp=sharing"",""แผน!FH82"")"),0)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40</v>
      </c>
      <c r="J442" s="1310">
        <f t="shared" si="195"/>
        <v>40</v>
      </c>
      <c r="K442" s="1311">
        <f t="shared" ca="1" si="194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120</v>
      </c>
      <c r="J443" s="1294">
        <f t="shared" si="196"/>
        <v>120</v>
      </c>
      <c r="K443" s="1295">
        <f t="shared" ca="1" si="194"/>
        <v>100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367400</v>
      </c>
      <c r="M444" s="1020">
        <f t="shared" ca="1" si="197"/>
        <v>367400</v>
      </c>
      <c r="N444" s="1020">
        <f t="shared" si="197"/>
        <v>252435.5</v>
      </c>
      <c r="O444" s="1020">
        <f t="shared" ref="O444:O449" ca="1" si="198">IF(L444&gt;0,N444*100/L444,0)</f>
        <v>68.708628198149157</v>
      </c>
      <c r="P444" s="1020">
        <f t="shared" ref="P444:P449" ca="1" si="199">IF(M444&gt;0,N444*100/M444,0)</f>
        <v>68.708628198149157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367400</v>
      </c>
      <c r="M446" s="887">
        <f t="shared" ca="1" si="200"/>
        <v>367400</v>
      </c>
      <c r="N446" s="887">
        <f t="shared" si="200"/>
        <v>252435.5</v>
      </c>
      <c r="O446" s="887">
        <f t="shared" ca="1" si="198"/>
        <v>68.708628198149157</v>
      </c>
      <c r="P446" s="887">
        <f t="shared" ca="1" si="199"/>
        <v>68.708628198149157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367400</v>
      </c>
      <c r="M447" s="881">
        <f t="shared" ca="1" si="201"/>
        <v>367400</v>
      </c>
      <c r="N447" s="881">
        <f t="shared" si="201"/>
        <v>252435.5</v>
      </c>
      <c r="O447" s="881">
        <f t="shared" ca="1" si="198"/>
        <v>68.708628198149157</v>
      </c>
      <c r="P447" s="881">
        <f t="shared" ca="1" si="199"/>
        <v>68.708628198149157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IFERROR(__xludf.DUMMYFUNCTION("IMPORTRANGE(""https://docs.google.com/spreadsheets/d/1QqKyyYR6Q21VydFLVH3TRQUabQu_ym0Zz7PgGX0-kHA/edit?usp=sharing"",""แผน!FJ82"")"),367400)</f>
        <v>367400</v>
      </c>
      <c r="M449" s="887">
        <f ca="1">L449</f>
        <v>367400</v>
      </c>
      <c r="N449" s="887">
        <f>N450+N451+N452+N453</f>
        <v>252435.5</v>
      </c>
      <c r="O449" s="887">
        <f t="shared" ca="1" si="198"/>
        <v>68.708628198149157</v>
      </c>
      <c r="P449" s="887">
        <f t="shared" ca="1" si="199"/>
        <v>68.708628198149157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54400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122985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64580.5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10470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IFERROR(__xludf.DUMMYFUNCTION("IMPORTRANGE(""https://docs.google.com/spreadsheets/d/1QqKyyYR6Q21VydFLVH3TRQUabQu_ym0Zz7PgGX0-kHA/edit?usp=sharing"",""แผน!FM82"")"),0)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IFERROR(__xludf.DUMMYFUNCTION("IMPORTRANGE(""https://docs.google.com/spreadsheets/d/1QqKyyYR6Q21VydFLVH3TRQUabQu_ym0Zz7PgGX0-kHA/edit?usp=sharing"",""แผน!FN82"")"),40)</f>
        <v>40</v>
      </c>
      <c r="J460" s="1012">
        <v>40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IFERROR(__xludf.DUMMYFUNCTION("IMPORTRANGE(""https://docs.google.com/spreadsheets/d/1QqKyyYR6Q21VydFLVH3TRQUabQu_ym0Zz7PgGX0-kHA/edit?usp=sharing"",""แผน!FO82"")"),120)</f>
        <v>120</v>
      </c>
      <c r="J462" s="1012">
        <v>120</v>
      </c>
      <c r="K462" s="881">
        <f ca="1">IF(I462&gt;0,J462*100/I462,0)</f>
        <v>100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IFERROR(__xludf.DUMMYFUNCTION("IMPORTRANGE(""https://docs.google.com/spreadsheets/d/1QqKyyYR6Q21VydFLVH3TRQUabQu_ym0Zz7PgGX0-kHA/edit?usp=sharing"",""แผน!FO82"")"),120)</f>
        <v>120</v>
      </c>
      <c r="J463" s="1012">
        <v>120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IFERROR(__xludf.DUMMYFUNCTION("IMPORTRANGE(""https://docs.google.com/spreadsheets/d/1QqKyyYR6Q21VydFLVH3TRQUabQu_ym0Zz7PgGX0-kHA/edit?usp=sharing"",""แผน!FN82"")"),40)</f>
        <v>40</v>
      </c>
      <c r="J464" s="1012">
        <v>40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IFERROR(__xludf.DUMMYFUNCTION("IMPORTRANGE(""https://docs.google.com/spreadsheets/d/1QqKyyYR6Q21VydFLVH3TRQUabQu_ym0Zz7PgGX0-kHA/edit?usp=sharing"",""แผน!FX82"")"),31)</f>
        <v>31</v>
      </c>
      <c r="J465" s="1310">
        <f>J485+J489+J492</f>
        <v>31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IFERROR(__xludf.DUMMYFUNCTION("IMPORTRANGE(""https://docs.google.com/spreadsheets/d/1QqKyyYR6Q21VydFLVH3TRQUabQu_ym0Zz7PgGX0-kHA/edit?usp=sharing"",""แผน!FW82"")"),300)</f>
        <v>300</v>
      </c>
      <c r="J466" s="1294">
        <f>J495+J498</f>
        <v>300</v>
      </c>
      <c r="K466" s="1295">
        <f t="shared" ca="1" si="205"/>
        <v>100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263773</v>
      </c>
      <c r="M467" s="1020">
        <f t="shared" ca="1" si="206"/>
        <v>263773</v>
      </c>
      <c r="N467" s="1020">
        <f t="shared" si="206"/>
        <v>145656</v>
      </c>
      <c r="O467" s="1020">
        <f t="shared" ref="O467:O472" ca="1" si="207">IF(L467&gt;0,N467*100/L467,0)</f>
        <v>55.220208285154278</v>
      </c>
      <c r="P467" s="1020">
        <f t="shared" ref="P467:P472" ca="1" si="208">IF(M467&gt;0,N467*100/M467,0)</f>
        <v>55.220208285154278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263773</v>
      </c>
      <c r="M469" s="887">
        <f t="shared" ca="1" si="209"/>
        <v>263773</v>
      </c>
      <c r="N469" s="887">
        <f t="shared" si="209"/>
        <v>145656</v>
      </c>
      <c r="O469" s="887">
        <f t="shared" ca="1" si="207"/>
        <v>55.220208285154278</v>
      </c>
      <c r="P469" s="887">
        <f t="shared" ca="1" si="208"/>
        <v>55.220208285154278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263773</v>
      </c>
      <c r="M470" s="881">
        <f t="shared" ca="1" si="210"/>
        <v>263773</v>
      </c>
      <c r="N470" s="881">
        <f t="shared" si="210"/>
        <v>145656</v>
      </c>
      <c r="O470" s="881">
        <f t="shared" ca="1" si="207"/>
        <v>55.220208285154278</v>
      </c>
      <c r="P470" s="881">
        <f t="shared" ca="1" si="208"/>
        <v>55.220208285154278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IFERROR(__xludf.DUMMYFUNCTION("IMPORTRANGE(""https://docs.google.com/spreadsheets/d/1QqKyyYR6Q21VydFLVH3TRQUabQu_ym0Zz7PgGX0-kHA/edit?usp=sharing"",""แผน!FS82"")"),263773)</f>
        <v>263773</v>
      </c>
      <c r="M472" s="887">
        <f ca="1">L472</f>
        <v>263773</v>
      </c>
      <c r="N472" s="887">
        <f>N473+N474+N475+N476</f>
        <v>145656</v>
      </c>
      <c r="O472" s="887">
        <f t="shared" ca="1" si="207"/>
        <v>55.220208285154278</v>
      </c>
      <c r="P472" s="887">
        <f t="shared" ca="1" si="208"/>
        <v>55.220208285154278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38696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87250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v>19710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IFERROR(__xludf.DUMMYFUNCTION("IMPORTRANGE(""https://docs.google.com/spreadsheets/d/1QqKyyYR6Q21VydFLVH3TRQUabQu_ym0Zz7PgGX0-kHA/edit?usp=sharing"",""แผน!FV82"")"),0)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IFERROR(__xludf.DUMMYFUNCTION("IMPORTRANGE(""https://docs.google.com/spreadsheets/d/1QqKyyYR6Q21VydFLVH3TRQUabQu_ym0Zz7PgGX0-kHA/edit?usp=sharing"",""แผน!FY82"")"),270)</f>
        <v>270</v>
      </c>
      <c r="J483" s="1012">
        <v>270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0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IFERROR(__xludf.DUMMYFUNCTION("IMPORTRANGE(""https://docs.google.com/spreadsheets/d/1QqKyyYR6Q21VydFLVH3TRQUabQu_ym0Zz7PgGX0-kHA/edit?usp=sharing"",""แผน!FZ82"")"),27)</f>
        <v>27</v>
      </c>
      <c r="J485" s="1012">
        <v>27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IFERROR(__xludf.DUMMYFUNCTION("IMPORTRANGE(""https://docs.google.com/spreadsheets/d/1QqKyyYR6Q21VydFLVH3TRQUabQu_ym0Zz7PgGX0-kHA/edit?usp=sharing"",""แผน!GA82"")"),30)</f>
        <v>30</v>
      </c>
      <c r="J487" s="1012">
        <v>30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4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IFERROR(__xludf.DUMMYFUNCTION("IMPORTRANGE(""https://docs.google.com/spreadsheets/d/1QqKyyYR6Q21VydFLVH3TRQUabQu_ym0Zz7PgGX0-kHA/edit?usp=sharing"",""แผน!GB82"")"),3)</f>
        <v>3</v>
      </c>
      <c r="J489" s="1012">
        <v>3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0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IFERROR(__xludf.DUMMYFUNCTION("IMPORTRANGE(""https://docs.google.com/spreadsheets/d/1QqKyyYR6Q21VydFLVH3TRQUabQu_ym0Zz7PgGX0-kHA/edit?usp=sharing"",""แผน!GC82"")"),1)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IFERROR(__xludf.DUMMYFUNCTION("IMPORTRANGE(""https://docs.google.com/spreadsheets/d/1QqKyyYR6Q21VydFLVH3TRQUabQu_ym0Zz7PgGX0-kHA/edit?usp=sharing"",""แผน!FY82"")"),270)</f>
        <v>270</v>
      </c>
      <c r="J495" s="1012">
        <v>270</v>
      </c>
      <c r="K495" s="881">
        <f ca="1">IF(I495&gt;0,J495*100/I495,0)</f>
        <v>100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IFERROR(__xludf.DUMMYFUNCTION("IMPORTRANGE(""https://docs.google.com/spreadsheets/d/1QqKyyYR6Q21VydFLVH3TRQUabQu_ym0Zz7PgGX0-kHA/edit?usp=sharing"",""แผน!GA82"")"),30)</f>
        <v>30</v>
      </c>
      <c r="J498" s="1012">
        <v>30</v>
      </c>
      <c r="K498" s="881">
        <f ca="1">IF(I498&gt;0,J498*100/I498,0)</f>
        <v>100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0</v>
      </c>
      <c r="J522" s="1377">
        <f t="shared" ca="1" si="225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0</v>
      </c>
      <c r="M523" s="1020">
        <f t="shared" si="226"/>
        <v>0</v>
      </c>
      <c r="N523" s="1020">
        <f t="shared" si="226"/>
        <v>0</v>
      </c>
      <c r="O523" s="1020">
        <f t="shared" ref="O523:O528" ca="1" si="227">IF(L523&gt;0,N523*100/L523,0)</f>
        <v>0</v>
      </c>
      <c r="P523" s="1020">
        <f t="shared" ref="P523:P528" si="228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0</v>
      </c>
      <c r="M525" s="887">
        <f t="shared" si="229"/>
        <v>0</v>
      </c>
      <c r="N525" s="887">
        <f t="shared" si="229"/>
        <v>0</v>
      </c>
      <c r="O525" s="887">
        <f t="shared" ca="1" si="227"/>
        <v>0</v>
      </c>
      <c r="P525" s="887">
        <f t="shared" si="228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0</v>
      </c>
      <c r="M526" s="881">
        <f t="shared" si="230"/>
        <v>0</v>
      </c>
      <c r="N526" s="881">
        <f t="shared" si="230"/>
        <v>0</v>
      </c>
      <c r="O526" s="881">
        <f t="shared" ca="1" si="227"/>
        <v>0</v>
      </c>
      <c r="P526" s="881">
        <f t="shared" si="228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IFERROR(__xludf.DUMMYFUNCTION("IMPORTRANGE(""https://docs.google.com/spreadsheets/d/1QqKyyYR6Q21VydFLVH3TRQUabQu_ym0Zz7PgGX0-kHA/edit?usp=sharing"",""แผน!GQ82"")"),0)</f>
        <v>0</v>
      </c>
      <c r="M528" s="887">
        <v>0</v>
      </c>
      <c r="N528" s="887">
        <f>N529+N530+N531+N532</f>
        <v>0</v>
      </c>
      <c r="O528" s="887">
        <f t="shared" ca="1" si="227"/>
        <v>0</v>
      </c>
      <c r="P528" s="887">
        <f t="shared" si="228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IFERROR(__xludf.DUMMYFUNCTION("IMPORTRANGE(""https://docs.google.com/spreadsheets/d/1QqKyyYR6Q21VydFLVH3TRQUabQu_ym0Zz7PgGX0-kHA/edit?usp=sharing"",""แผน!GT82"")"),0)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IFERROR(__xludf.DUMMYFUNCTION("IMPORTRANGE(""https://docs.google.com/spreadsheets/d/1QqKyyYR6Q21VydFLVH3TRQUabQu_ym0Zz7PgGX0-kHA/edit?usp=sharing"",""แผน!GU82"")"),0)</f>
        <v>0</v>
      </c>
      <c r="J537" s="1019">
        <f ca="1">IF(AND(J538=I538,J539=I539,J540=I540,J541=I541),I537,0)</f>
        <v>0</v>
      </c>
      <c r="K537" s="881">
        <f t="shared" ref="K537:K543" ca="1" si="234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IFERROR(__xludf.DUMMYFUNCTION("IMPORTRANGE(""https://docs.google.com/spreadsheets/d/1QqKyyYR6Q21VydFLVH3TRQUabQu_ym0Zz7PgGX0-kHA/edit?usp=sharing"",""แผน!GV82"")"),0)</f>
        <v>0</v>
      </c>
      <c r="J538" s="1012">
        <v>0</v>
      </c>
      <c r="K538" s="881">
        <f t="shared" ca="1" si="234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IFERROR(__xludf.DUMMYFUNCTION("IMPORTRANGE(""https://docs.google.com/spreadsheets/d/1QqKyyYR6Q21VydFLVH3TRQUabQu_ym0Zz7PgGX0-kHA/edit?usp=sharing"",""แผน!GW82"")"),0)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IFERROR(__xludf.DUMMYFUNCTION("IMPORTRANGE(""https://docs.google.com/spreadsheets/d/1QqKyyYR6Q21VydFLVH3TRQUabQu_ym0Zz7PgGX0-kHA/edit?usp=sharing"",""แผน!GX82"")"),0)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IFERROR(__xludf.DUMMYFUNCTION("IMPORTRANGE(""https://docs.google.com/spreadsheets/d/1QqKyyYR6Q21VydFLVH3TRQUabQu_ym0Zz7PgGX0-kHA/edit?usp=sharing"",""แผน!GY82"")"),0)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IFERROR(__xludf.DUMMYFUNCTION("IMPORTRANGE(""https://docs.google.com/spreadsheets/d/1QqKyyYR6Q21VydFLVH3TRQUabQu_ym0Zz7PgGX0-kHA/edit?usp=sharing"",""แผน!GZ82"")"),0)</f>
        <v>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36514</v>
      </c>
      <c r="J543" s="1384">
        <f t="shared" si="235"/>
        <v>15266.715</v>
      </c>
      <c r="K543" s="1385">
        <f t="shared" ca="1" si="234"/>
        <v>41.810579503751988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537675</v>
      </c>
      <c r="M544" s="992">
        <f t="shared" ca="1" si="236"/>
        <v>537675</v>
      </c>
      <c r="N544" s="992">
        <f t="shared" si="236"/>
        <v>132180.22</v>
      </c>
      <c r="O544" s="992">
        <f t="shared" ref="O544:O549" ca="1" si="237">IF(L544&gt;0,N544*100/L544,0)</f>
        <v>24.583664853303574</v>
      </c>
      <c r="P544" s="992">
        <f t="shared" ref="P544:P549" ca="1" si="238">IF(M544&gt;0,N544*100/M544,0)</f>
        <v>24.583664853303574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537675</v>
      </c>
      <c r="M546" s="887">
        <f t="shared" ca="1" si="240"/>
        <v>537675</v>
      </c>
      <c r="N546" s="887">
        <f t="shared" si="240"/>
        <v>132180.22</v>
      </c>
      <c r="O546" s="887">
        <f t="shared" ca="1" si="237"/>
        <v>24.583664853303574</v>
      </c>
      <c r="P546" s="887">
        <f t="shared" ca="1" si="238"/>
        <v>24.583664853303574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537675</v>
      </c>
      <c r="M547" s="881">
        <f t="shared" ca="1" si="241"/>
        <v>537675</v>
      </c>
      <c r="N547" s="881">
        <f t="shared" si="241"/>
        <v>132180.22</v>
      </c>
      <c r="O547" s="881">
        <f t="shared" ca="1" si="237"/>
        <v>24.583664853303574</v>
      </c>
      <c r="P547" s="881">
        <f t="shared" ca="1" si="238"/>
        <v>24.583664853303574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IFERROR(__xludf.DUMMYFUNCTION("IMPORTRANGE(""https://docs.google.com/spreadsheets/d/1QqKyyYR6Q21VydFLVH3TRQUabQu_ym0Zz7PgGX0-kHA/edit?usp=sharing"",""แผน!HB82"")"),537675)</f>
        <v>537675</v>
      </c>
      <c r="M549" s="887">
        <f ca="1">L549</f>
        <v>537675</v>
      </c>
      <c r="N549" s="887">
        <f>N550+N551+N552+N553+N554</f>
        <v>132180.22</v>
      </c>
      <c r="O549" s="887">
        <f t="shared" ca="1" si="237"/>
        <v>24.583664853303574</v>
      </c>
      <c r="P549" s="887">
        <f t="shared" ca="1" si="238"/>
        <v>24.583664853303574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64147.07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v>68033.149999999994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IFERROR(__xludf.DUMMYFUNCTION("IMPORTRANGE(""https://docs.google.com/spreadsheets/d/1QqKyyYR6Q21VydFLVH3TRQUabQu_ym0Zz7PgGX0-kHA/edit?usp=sharing"",""แผน!HF82"")"),0)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36514</v>
      </c>
      <c r="J559" s="1377">
        <f t="shared" si="245"/>
        <v>15266.715</v>
      </c>
      <c r="K559" s="1378">
        <f t="shared" ref="K559:K561" ca="1" si="246">IF(I559&gt;0,J559*100/I559,0)</f>
        <v>41.810579503751988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IFERROR(__xludf.DUMMYFUNCTION("IMPORTRANGE(""https://docs.google.com/spreadsheets/d/1QqKyyYR6Q21VydFLVH3TRQUabQu_ym0Zz7PgGX0-kHA/edit?usp=sharing"",""แผน!HH82"")"),36514)</f>
        <v>36514</v>
      </c>
      <c r="J560" s="1018">
        <f t="shared" ref="J560:J561" si="247">J562+J564+J566</f>
        <v>36514.232499999998</v>
      </c>
      <c r="K560" s="1162">
        <f t="shared" ca="1" si="246"/>
        <v>100.00063674207153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IFERROR(__xludf.DUMMYFUNCTION("IMPORTRANGE(""https://docs.google.com/spreadsheets/d/1QqKyyYR6Q21VydFLVH3TRQUabQu_ym0Zz7PgGX0-kHA/edit?usp=sharing"",""แผน!HG82"")"),7422)</f>
        <v>7422</v>
      </c>
      <c r="J561" s="1018">
        <f t="shared" si="247"/>
        <v>7422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31338.235000000001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6525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4457.84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773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718.15750000000003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124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IFERROR(__xludf.DUMMYFUNCTION("IMPORTRANGE(""https://docs.google.com/spreadsheets/d/1QqKyyYR6Q21VydFLVH3TRQUabQu_ym0Zz7PgGX0-kHA/edit?usp=sharing"",""แผน!HH82"")"),36514)</f>
        <v>36514</v>
      </c>
      <c r="J568" s="1019">
        <f t="shared" ref="J568:J569" si="248">J570+J572+J574</f>
        <v>15266.715</v>
      </c>
      <c r="K568" s="1162">
        <f t="shared" ref="K568:K569" ca="1" si="249">IF(I568&gt;0,J568*100/I568,0)</f>
        <v>41.810579503751988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IFERROR(__xludf.DUMMYFUNCTION("IMPORTRANGE(""https://docs.google.com/spreadsheets/d/1QqKyyYR6Q21VydFLVH3TRQUabQu_ym0Zz7PgGX0-kHA/edit?usp=sharing"",""แผน!HG82"")"),7422)</f>
        <v>7422</v>
      </c>
      <c r="J569" s="1019">
        <f t="shared" si="248"/>
        <v>3750</v>
      </c>
      <c r="K569" s="1162">
        <f t="shared" ca="1" si="249"/>
        <v>50.525464834276477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13984.815000000001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3469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1101.76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230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180.14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51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IFERROR(__xludf.DUMMYFUNCTION("IMPORTRANGE(""https://docs.google.com/spreadsheets/d/1QqKyyYR6Q21VydFLVH3TRQUabQu_ym0Zz7PgGX0-kHA/edit?usp=sharing"",""แผน!HH82"")"),36514)</f>
        <v>36514</v>
      </c>
      <c r="J576" s="1019">
        <f t="shared" ref="J576:J577" si="250">J578+J580+J582+J588+J590</f>
        <v>15266.715</v>
      </c>
      <c r="K576" s="1162">
        <f t="shared" ref="K576:K577" ca="1" si="251">IF(I576&gt;0,J576*100/I576,0)</f>
        <v>41.810579503751988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IFERROR(__xludf.DUMMYFUNCTION("IMPORTRANGE(""https://docs.google.com/spreadsheets/d/1QqKyyYR6Q21VydFLVH3TRQUabQu_ym0Zz7PgGX0-kHA/edit?usp=sharing"",""แผน!HG82"")"),7422)</f>
        <v>7422</v>
      </c>
      <c r="J577" s="1019">
        <f t="shared" si="250"/>
        <v>3750</v>
      </c>
      <c r="K577" s="1162">
        <f t="shared" ca="1" si="251"/>
        <v>50.525464834276477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13984.815000000001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3469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1101.76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230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180.14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51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180.14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51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2370.63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IFERROR(__xludf.DUMMYFUNCTION("IMPORTRANGE(""https://docs.google.com/spreadsheets/d/1QqKyyYR6Q21VydFLVH3TRQUabQu_ym0Zz7PgGX0-kHA/edit?usp=sharing"",""แผน!HJ82"")"),2370.63)</f>
        <v>2370.63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IFERROR(__xludf.DUMMYFUNCTION("IMPORTRANGE(""https://docs.google.com/spreadsheets/d/1QqKyyYR6Q21VydFLVH3TRQUabQu_ym0Zz7PgGX0-kHA/edit?usp=sharing"",""แผน!HI82"")"),404)</f>
        <v>404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IFERROR(__xludf.DUMMYFUNCTION("IMPORTRANGE(""https://docs.google.com/spreadsheets/d/1QqKyyYR6Q21VydFLVH3TRQUabQu_ym0Zz7PgGX0-kHA/edit?usp=sharing"",""แผน!HL82"")"),13)</f>
        <v>13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IFERROR(__xludf.DUMMYFUNCTION("IMPORTRANGE(""https://docs.google.com/spreadsheets/d/1QqKyyYR6Q21VydFLVH3TRQUabQu_ym0Zz7PgGX0-kHA/edit?usp=sharing"",""แผน!HK82"")"),4)</f>
        <v>4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 hidden="1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 hidden="1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0</v>
      </c>
      <c r="M629" s="1020">
        <f t="shared" si="263"/>
        <v>0</v>
      </c>
      <c r="N629" s="1020">
        <f t="shared" si="263"/>
        <v>0</v>
      </c>
      <c r="O629" s="1020">
        <f t="shared" ref="O629:O634" ca="1" si="264">IF(L629&gt;0,N629*100/L629,0)</f>
        <v>0</v>
      </c>
      <c r="P629" s="1020">
        <f t="shared" ref="P629:P634" si="265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0</v>
      </c>
      <c r="M631" s="887">
        <f t="shared" si="266"/>
        <v>0</v>
      </c>
      <c r="N631" s="887">
        <f t="shared" si="266"/>
        <v>0</v>
      </c>
      <c r="O631" s="887">
        <f t="shared" ca="1" si="264"/>
        <v>0</v>
      </c>
      <c r="P631" s="887">
        <f t="shared" si="265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 hidden="1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0</v>
      </c>
      <c r="M632" s="881">
        <f t="shared" si="267"/>
        <v>0</v>
      </c>
      <c r="N632" s="881">
        <f t="shared" si="267"/>
        <v>0</v>
      </c>
      <c r="O632" s="881">
        <f t="shared" ca="1" si="264"/>
        <v>0</v>
      </c>
      <c r="P632" s="881">
        <f t="shared" si="265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IFERROR(__xludf.DUMMYFUNCTION("IMPORTRANGE(""https://docs.google.com/spreadsheets/d/1QqKyyYR6Q21VydFLVH3TRQUabQu_ym0Zz7PgGX0-kHA/edit?usp=sharing"",""แผน!HN82"")"),0)</f>
        <v>0</v>
      </c>
      <c r="M634" s="887">
        <v>0</v>
      </c>
      <c r="N634" s="887">
        <f>N635+N636+N637+N638</f>
        <v>0</v>
      </c>
      <c r="O634" s="887">
        <f t="shared" ca="1" si="264"/>
        <v>0</v>
      </c>
      <c r="P634" s="887">
        <f t="shared" si="265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 hidden="1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 hidden="1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 hidden="1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 hidden="1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 hidden="1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IFERROR(__xludf.DUMMYFUNCTION("IMPORTRANGE(""https://docs.google.com/spreadsheets/d/1QqKyyYR6Q21VydFLVH3TRQUabQu_ym0Zz7PgGX0-kHA/edit?usp=sharing"",""แผน!HQ82"")"),0)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 hidden="1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 hidden="1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IFERROR(__xludf.DUMMYFUNCTION("IMPORTRANGE(""https://docs.google.com/spreadsheets/d/1QqKyyYR6Q21VydFLVH3TRQUabQu_ym0Zz7PgGX0-kHA/edit?usp=sharing"",""แผน!HR82"")"),0)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 hidden="1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IFERROR(__xludf.DUMMYFUNCTION("IMPORTRANGE(""https://docs.google.com/spreadsheets/d/1QqKyyYR6Q21VydFLVH3TRQUabQu_ym0Zz7PgGX0-kHA/edit?usp=sharing"",""แผน!HR82"")"),0)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 hidden="1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IFERROR(__xludf.DUMMYFUNCTION("IMPORTRANGE(""https://docs.google.com/spreadsheets/d/1XWAQStnk-4SwqDmLtmXYiTMKHgktTP8We1SCoS47DrQ/edit?usp=sharing"",""จัดที่ดิน!AS82"")"),0)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 hidden="1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IFERROR(__xludf.DUMMYFUNCTION("IMPORTRANGE(""https://docs.google.com/spreadsheets/d/1XWAQStnk-4SwqDmLtmXYiTMKHgktTP8We1SCoS47DrQ/edit?usp=sharing"",""จัดที่ดิน!AT82"")"),0)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 hidden="1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IFERROR(__xludf.DUMMYFUNCTION("IMPORTRANGE(""https://docs.google.com/spreadsheets/d/1QqKyyYR6Q21VydFLVH3TRQUabQu_ym0Zz7PgGX0-kHA/edit?usp=sharing"",""แผน!HS82"")"),0)</f>
        <v>0</v>
      </c>
      <c r="J647" s="880">
        <f ca="1">IFERROR(__xludf.DUMMYFUNCTION("IMPORTRANGE(""https://docs.google.com/spreadsheets/d/1XWAQStnk-4SwqDmLtmXYiTMKHgktTP8We1SCoS47DrQ/edit?usp=sharing"",""จัดที่ดิน!AU82"")"),0)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 hidden="1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IFERROR(__xludf.DUMMYFUNCTION("IMPORTRANGE(""https://docs.google.com/spreadsheets/d/1XWAQStnk-4SwqDmLtmXYiTMKHgktTP8We1SCoS47DrQ/edit?usp=sharing"",""จัดที่ดิน!AV82"")"),0)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 hidden="1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IFERROR(__xludf.DUMMYFUNCTION("IMPORTRANGE(""https://docs.google.com/spreadsheets/d/1QqKyyYR6Q21VydFLVH3TRQUabQu_ym0Zz7PgGX0-kHA/edit?usp=sharing"",""แผน!HS82"")"),0)</f>
        <v>0</v>
      </c>
      <c r="J649" s="880">
        <f ca="1">IFERROR(__xludf.DUMMYFUNCTION("IMPORTRANGE(""https://docs.google.com/spreadsheets/d/1XWAQStnk-4SwqDmLtmXYiTMKHgktTP8We1SCoS47DrQ/edit?usp=sharing"",""จัดที่ดิน!AW82"")"),0)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 hidden="1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IFERROR(__xludf.DUMMYFUNCTION("IMPORTRANGE(""https://docs.google.com/spreadsheets/d/1XWAQStnk-4SwqDmLtmXYiTMKHgktTP8We1SCoS47DrQ/edit?usp=sharing"",""จัดที่ดิน!AX82"")"),0)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 hidden="1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IFERROR(__xludf.DUMMYFUNCTION("IMPORTRANGE(""https://docs.google.com/spreadsheets/d/1QqKyyYR6Q21VydFLVH3TRQUabQu_ym0Zz7PgGX0-kHA/edit?usp=sharing"",""แผน!HS82"")"),0)</f>
        <v>0</v>
      </c>
      <c r="J651" s="880">
        <f ca="1">IFERROR(__xludf.DUMMYFUNCTION("IMPORTRANGE(""https://docs.google.com/spreadsheets/d/1XWAQStnk-4SwqDmLtmXYiTMKHgktTP8We1SCoS47DrQ/edit?usp=sharing"",""จัดที่ดิน!AY82"")"),0)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 hidden="1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IFERROR(__xludf.DUMMYFUNCTION("IMPORTRANGE(""https://docs.google.com/spreadsheets/d/1XWAQStnk-4SwqDmLtmXYiTMKHgktTP8We1SCoS47DrQ/edit?usp=sharing"",""จัดที่ดิน!AZ82"")"),0)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50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11000</v>
      </c>
      <c r="M655" s="1020">
        <f t="shared" ca="1" si="273"/>
        <v>11000</v>
      </c>
      <c r="N655" s="1020">
        <f t="shared" si="273"/>
        <v>4240.3999999999996</v>
      </c>
      <c r="O655" s="1020">
        <f t="shared" ref="O655:O660" ca="1" si="274">IF(L655&gt;0,N655*100/L655,0)</f>
        <v>38.549090909090907</v>
      </c>
      <c r="P655" s="1020">
        <f t="shared" ref="P655:P660" ca="1" si="275">IF(M655&gt;0,N655*100/M655,0)</f>
        <v>38.549090909090907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11000</v>
      </c>
      <c r="M657" s="887">
        <f t="shared" ca="1" si="276"/>
        <v>11000</v>
      </c>
      <c r="N657" s="887">
        <f t="shared" si="276"/>
        <v>4240.3999999999996</v>
      </c>
      <c r="O657" s="887">
        <f t="shared" ca="1" si="274"/>
        <v>38.549090909090907</v>
      </c>
      <c r="P657" s="887">
        <f t="shared" ca="1" si="275"/>
        <v>38.549090909090907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11000</v>
      </c>
      <c r="M658" s="881">
        <f t="shared" ca="1" si="277"/>
        <v>11000</v>
      </c>
      <c r="N658" s="881">
        <f t="shared" si="277"/>
        <v>4240.3999999999996</v>
      </c>
      <c r="O658" s="881">
        <f t="shared" ca="1" si="274"/>
        <v>38.549090909090907</v>
      </c>
      <c r="P658" s="881">
        <f t="shared" ca="1" si="275"/>
        <v>38.549090909090907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IFERROR(__xludf.DUMMYFUNCTION("IMPORTRANGE(""https://docs.google.com/spreadsheets/d/1QqKyyYR6Q21VydFLVH3TRQUabQu_ym0Zz7PgGX0-kHA/edit?usp=sharing"",""แผน!HV82"")"),11000)</f>
        <v>11000</v>
      </c>
      <c r="M660" s="887">
        <f ca="1">L660</f>
        <v>11000</v>
      </c>
      <c r="N660" s="887">
        <f>N661+N662+N663+N664</f>
        <v>4240.3999999999996</v>
      </c>
      <c r="O660" s="887">
        <f t="shared" ca="1" si="274"/>
        <v>38.549090909090907</v>
      </c>
      <c r="P660" s="887">
        <f t="shared" ca="1" si="275"/>
        <v>38.549090909090907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4240.3999999999996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IFERROR(__xludf.DUMMYFUNCTION("IMPORTRANGE(""https://docs.google.com/spreadsheets/d/1QqKyyYR6Q21VydFLVH3TRQUabQu_ym0Zz7PgGX0-kHA/edit?usp=sharing"",""แผน!IA82"")"),50)</f>
        <v>50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IFERROR(__xludf.DUMMYFUNCTION("IMPORTRANGE(""https://docs.google.com/spreadsheets/d/1QqKyyYR6Q21VydFLVH3TRQUabQu_ym0Zz7PgGX0-kHA/edit?usp=sharing"",""แผน!HZ82"")"),5)</f>
        <v>5</v>
      </c>
      <c r="J670" s="1012">
        <v>5</v>
      </c>
      <c r="K670" s="881">
        <f ca="1">IF(I670&gt;0,(J670*100)/I670,0)</f>
        <v>100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IFERROR(__xludf.DUMMYFUNCTION("IMPORTRANGE(""https://docs.google.com/spreadsheets/d/1QqKyyYR6Q21VydFLVH3TRQUabQu_ym0Zz7PgGX0-kHA/edit?usp=sharing"",""แผน!HZ82"")"),5)</f>
        <v>5</v>
      </c>
      <c r="J671" s="1012">
        <v>5</v>
      </c>
      <c r="K671" s="881">
        <f ca="1">IF(I$671&gt;0,J671*100/I$671,0)</f>
        <v>100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IFERROR(__xludf.DUMMYFUNCTION("IMPORTRANGE(""https://docs.google.com/spreadsheets/d/1QqKyyYR6Q21VydFLVH3TRQUabQu_ym0Zz7PgGX0-kHA/edit?usp=sharing"",""แผน!IB82"")"),0)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IFERROR(__xludf.DUMMYFUNCTION("IMPORTRANGE(""https://docs.google.com/spreadsheets/d/1QqKyyYR6Q21VydFLVH3TRQUabQu_ym0Zz7PgGX0-kHA/edit?usp=sharing"",""แผน!HW82"")"),0)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IFERROR(__xludf.DUMMYFUNCTION("IMPORTRANGE(""https://docs.google.com/spreadsheets/d/1QqKyyYR6Q21VydFLVH3TRQUabQu_ym0Zz7PgGX0-kHA/edit?usp=sharing"",""แผน!IC82"")"),0)</f>
        <v>0</v>
      </c>
      <c r="J699" s="880">
        <f ca="1">IFERROR(__xludf.DUMMYFUNCTION("IMPORTRANGE(""https://docs.google.com/spreadsheets/d/1XWAQStnk-4SwqDmLtmXYiTMKHgktTP8We1SCoS47DrQ/edit?usp=sharing"",""จัดที่ดิน!BB82"")"),0)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IFERROR(__xludf.DUMMYFUNCTION("IMPORTRANGE(""https://docs.google.com/spreadsheets/d/1QqKyyYR6Q21VydFLVH3TRQUabQu_ym0Zz7PgGX0-kHA/edit?usp=sharing"",""แผน!ID82"")"),0)</f>
        <v>0</v>
      </c>
      <c r="J700" s="880">
        <f ca="1">IFERROR(__xludf.DUMMYFUNCTION("IMPORTRANGE(""https://docs.google.com/spreadsheets/d/1XWAQStnk-4SwqDmLtmXYiTMKHgktTP8We1SCoS47DrQ/edit?usp=sharing"",""จัดที่ดิน!BD82"")"),0)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IFERROR(__xludf.DUMMYFUNCTION("IMPORTRANGE(""https://docs.google.com/spreadsheets/d/1QqKyyYR6Q21VydFLVH3TRQUabQu_ym0Zz7PgGX0-kHA/edit?usp=sharing"",""แผน!IE82"")"),0)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IFERROR(__xludf.DUMMYFUNCTION("IMPORTRANGE(""https://docs.google.com/spreadsheets/d/1QqKyyYR6Q21VydFLVH3TRQUabQu_ym0Zz7PgGX0-kHA/edit?usp=sharing"",""แผน!IF82"")"),0)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IFERROR(__xludf.DUMMYFUNCTION("IMPORTRANGE(""https://docs.google.com/spreadsheets/d/1QqKyyYR6Q21VydFLVH3TRQUabQu_ym0Zz7PgGX0-kHA/edit?usp=sharing"",""แผน!IG82"")"),0)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IFERROR(__xludf.DUMMYFUNCTION("IMPORTRANGE(""https://docs.google.com/spreadsheets/d/1QqKyyYR6Q21VydFLVH3TRQUabQu_ym0Zz7PgGX0-kHA/edit?usp=sharing"",""แผน!IH82"")"),0)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IFERROR(__xludf.DUMMYFUNCTION("IMPORTRANGE(""https://docs.google.com/spreadsheets/d/1XWAQStnk-4SwqDmLtmXYiTMKHgktTP8We1SCoS47DrQ/edit?usp=sharing"",""จัดที่ดิน!BF82"")"),0)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IFERROR(__xludf.DUMMYFUNCTION("IMPORTRANGE(""https://docs.google.com/spreadsheets/d/1XWAQStnk-4SwqDmLtmXYiTMKHgktTP8We1SCoS47DrQ/edit?usp=sharing"",""จัดที่ดิน!BG82"")"),0)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IFERROR(__xludf.DUMMYFUNCTION("IMPORTRANGE(""https://docs.google.com/spreadsheets/d/1QqKyyYR6Q21VydFLVH3TRQUabQu_ym0Zz7PgGX0-kHA/edit?usp=sharing"",""แผน!II82"")"),0)</f>
        <v>0</v>
      </c>
      <c r="J720" s="880">
        <f ca="1">IFERROR(__xludf.DUMMYFUNCTION("IMPORTRANGE(""https://docs.google.com/spreadsheets/d/1XWAQStnk-4SwqDmLtmXYiTMKHgktTP8We1SCoS47DrQ/edit?usp=sharing"",""จัดที่ดิน!BH82"")"),0)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IFERROR(__xludf.DUMMYFUNCTION("IMPORTRANGE(""https://docs.google.com/spreadsheets/d/1QqKyyYR6Q21VydFLVH3TRQUabQu_ym0Zz7PgGX0-kHA/edit?usp=sharing"",""แผน!IJ82"")"),0)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IFERROR(__xludf.DUMMYFUNCTION("IMPORTRANGE(""https://docs.google.com/spreadsheets/d/1QqKyyYR6Q21VydFLVH3TRQUabQu_ym0Zz7PgGX0-kHA/edit?usp=sharing"",""แผน!IK82"")"),0)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IFERROR(__xludf.DUMMYFUNCTION("IMPORTRANGE(""https://docs.google.com/spreadsheets/d/1QqKyyYR6Q21VydFLVH3TRQUabQu_ym0Zz7PgGX0-kHA/edit?usp=sharing"",""แผน!IL82"")"),0)</f>
        <v>0</v>
      </c>
      <c r="J723" s="880">
        <f ca="1">IFERROR(__xludf.DUMMYFUNCTION("IMPORTRANGE(""https://docs.google.com/spreadsheets/d/1XWAQStnk-4SwqDmLtmXYiTMKHgktTP8We1SCoS47DrQ/edit?usp=sharing"",""จัดที่ดิน!BM82"")"),0)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IFERROR(__xludf.DUMMYFUNCTION("IMPORTRANGE(""https://docs.google.com/spreadsheets/d/1XWAQStnk-4SwqDmLtmXYiTMKHgktTP8We1SCoS47DrQ/edit?usp=sharing"",""จัดที่ดิน!BN82"")"),0)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IFERROR(__xludf.DUMMYFUNCTION("IMPORTRANGE(""https://docs.google.com/spreadsheets/d/1QqKyyYR6Q21VydFLVH3TRQUabQu_ym0Zz7PgGX0-kHA/edit?usp=sharing"",""แผน!IM82"")"),0)</f>
        <v>0</v>
      </c>
      <c r="J725" s="880">
        <f ca="1">IFERROR(__xludf.DUMMYFUNCTION("IMPORTRANGE(""https://docs.google.com/spreadsheets/d/1XWAQStnk-4SwqDmLtmXYiTMKHgktTP8We1SCoS47DrQ/edit?usp=sharing"",""จัดที่ดิน!BO82"")"),0)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IFERROR(__xludf.DUMMYFUNCTION("IMPORTRANGE(""https://docs.google.com/spreadsheets/d/1QqKyyYR6Q21VydFLVH3TRQUabQu_ym0Zz7PgGX0-kHA/edit?usp=sharing"",""แผน!IN82"")"),0)</f>
        <v>0</v>
      </c>
      <c r="J726" s="880">
        <f ca="1">IFERROR(__xludf.DUMMYFUNCTION("IMPORTRANGE(""https://docs.google.com/spreadsheets/d/1XWAQStnk-4SwqDmLtmXYiTMKHgktTP8We1SCoS47DrQ/edit?usp=sharing"",""จัดที่ดิน!BR82"")"),0)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IFERROR(__xludf.DUMMYFUNCTION("IMPORTRANGE(""https://docs.google.com/spreadsheets/d/1XWAQStnk-4SwqDmLtmXYiTMKHgktTP8We1SCoS47DrQ/edit?usp=sharing"",""จัดที่ดิน!BS82"")"),0)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IFERROR(__xludf.DUMMYFUNCTION("IMPORTRANGE(""https://docs.google.com/spreadsheets/d/1QqKyyYR6Q21VydFLVH3TRQUabQu_ym0Zz7PgGX0-kHA/edit?usp=sharing"",""แผน!IO82"")"),0)</f>
        <v>0</v>
      </c>
      <c r="J728" s="880">
        <f ca="1">IFERROR(__xludf.DUMMYFUNCTION("IMPORTRANGE(""https://docs.google.com/spreadsheets/d/1XWAQStnk-4SwqDmLtmXYiTMKHgktTP8We1SCoS47DrQ/edit?usp=sharing"",""จัดที่ดิน!BT82"")"),0)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IFERROR(__xludf.DUMMYFUNCTION("IMPORTRANGE(""https://docs.google.com/spreadsheets/d/1QqKyyYR6Q21VydFLVH3TRQUabQu_ym0Zz7PgGX0-kHA/edit?usp=sharing"",""แผน!IP82"")"),0)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IFERROR(__xludf.DUMMYFUNCTION("IMPORTRANGE(""https://docs.google.com/spreadsheets/d/1QqKyyYR6Q21VydFLVH3TRQUabQu_ym0Zz7PgGX0-kHA/edit?usp=sharing"",""แผน!JJ82"")"),0)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IFERROR(__xludf.DUMMYFUNCTION("IMPORTRANGE(""https://docs.google.com/spreadsheets/d/1QqKyyYR6Q21VydFLVH3TRQUabQu_ym0Zz7PgGX0-kHA/edit?usp=sharing"",""แผน!JN82"")"),0)</f>
        <v>0</v>
      </c>
      <c r="J800" s="997">
        <f ca="1">IFERROR(__xludf.DUMMYFUNCTION("IMPORTRANGE(""https://docs.google.com/spreadsheets/d/1MaWodYyGHDf7siQLGxnXhG4mBNTNIuy296niS2xXulU/edit?usp=sharing"",""RTK!H82"")"),0)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IFERROR(__xludf.DUMMYFUNCTION("IMPORTRANGE(""https://docs.google.com/spreadsheets/d/1MaWodYyGHDf7siQLGxnXhG4mBNTNIuy296niS2xXulU/edit?usp=sharing"",""RTK!I82"")"),0)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>
        <v>0</v>
      </c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>
        <v>0</v>
      </c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347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880">
        <f ca="1">IFERROR(__xludf.DUMMYFUNCTION("IMPORTRANGE(""https://docs.google.com/spreadsheets/d/19vJNZY_5yjcGF2XGBMNZRCAIB0Kwfpjp8YEOfu-bneM/edit?usp=sharing"",""งานกองทุน!F82"")"),852797.28)</f>
        <v>852797.28</v>
      </c>
      <c r="K821" s="881">
        <f t="shared" ref="K821:K828" ca="1" si="335">IF(I821&gt;0,J821*100/I821,0)</f>
        <v>51.386062100808473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IFERROR(__xludf.DUMMYFUNCTION("IMPORTRANGE(""https://docs.google.com/spreadsheets/d/19vJNZY_5yjcGF2XGBMNZRCAIB0Kwfpjp8YEOfu-bneM/edit?usp=sharing"",""งานกองทุน!C82"")"),149)</f>
        <v>149</v>
      </c>
      <c r="J822" s="880">
        <f ca="1">IFERROR(__xludf.DUMMYFUNCTION("IMPORTRANGE(""https://docs.google.com/spreadsheets/d/19vJNZY_5yjcGF2XGBMNZRCAIB0Kwfpjp8YEOfu-bneM/edit?usp=sharing"",""งานกองทุน!E82"")"),69)</f>
        <v>69</v>
      </c>
      <c r="K822" s="881">
        <f t="shared" ca="1" si="335"/>
        <v>46.308724832214764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IFERROR(__xludf.DUMMYFUNCTION("IMPORTRANGE(""https://docs.google.com/spreadsheets/d/19vJNZY_5yjcGF2XGBMNZRCAIB0Kwfpjp8YEOfu-bneM/edit?usp=sharing"",""งานกองทุน!I82"")"),794344.6)</f>
        <v>794344.6</v>
      </c>
      <c r="J823" s="880">
        <f ca="1">IFERROR(__xludf.DUMMYFUNCTION("IMPORTRANGE(""https://docs.google.com/spreadsheets/d/19vJNZY_5yjcGF2XGBMNZRCAIB0Kwfpjp8YEOfu-bneM/edit?usp=sharing"",""งานกองทุน!K82"")"),74985.87)</f>
        <v>74985.87</v>
      </c>
      <c r="K823" s="881">
        <f t="shared" ca="1" si="335"/>
        <v>9.4399672384000599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IFERROR(__xludf.DUMMYFUNCTION("IMPORTRANGE(""https://docs.google.com/spreadsheets/d/19vJNZY_5yjcGF2XGBMNZRCAIB0Kwfpjp8YEOfu-bneM/edit?usp=sharing"",""งานกองทุน!H82"")"),55)</f>
        <v>55</v>
      </c>
      <c r="J824" s="880">
        <f ca="1">IFERROR(__xludf.DUMMYFUNCTION("IMPORTRANGE(""https://docs.google.com/spreadsheets/d/19vJNZY_5yjcGF2XGBMNZRCAIB0Kwfpjp8YEOfu-bneM/edit?usp=sharing"",""งานกองทุน!J82"")"),31)</f>
        <v>31</v>
      </c>
      <c r="K824" s="881">
        <f t="shared" ca="1" si="335"/>
        <v>56.363636363636367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IFERROR(__xludf.DUMMYFUNCTION("IMPORTRANGE(""https://docs.google.com/spreadsheets/d/19vJNZY_5yjcGF2XGBMNZRCAIB0Kwfpjp8YEOfu-bneM/edit?usp=sharing"",""งานกองทุน!N82"")"),0)</f>
        <v>0</v>
      </c>
      <c r="J825" s="880">
        <f ca="1">IFERROR(__xludf.DUMMYFUNCTION("IMPORTRANGE(""https://docs.google.com/spreadsheets/d/19vJNZY_5yjcGF2XGBMNZRCAIB0Kwfpjp8YEOfu-bneM/edit?usp=sharing"",""งานกองทุน!P82"")"),0)</f>
        <v>0</v>
      </c>
      <c r="K825" s="881">
        <f t="shared" ca="1" si="335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IFERROR(__xludf.DUMMYFUNCTION("IMPORTRANGE(""https://docs.google.com/spreadsheets/d/19vJNZY_5yjcGF2XGBMNZRCAIB0Kwfpjp8YEOfu-bneM/edit?usp=sharing"",""งานกองทุน!M82"")"),0)</f>
        <v>0</v>
      </c>
      <c r="J826" s="880">
        <f ca="1">IFERROR(__xludf.DUMMYFUNCTION("IMPORTRANGE(""https://docs.google.com/spreadsheets/d/19vJNZY_5yjcGF2XGBMNZRCAIB0Kwfpjp8YEOfu-bneM/edit?usp=sharing"",""งานกองทุน!O82"")"),0)</f>
        <v>0</v>
      </c>
      <c r="K826" s="881">
        <f t="shared" ca="1" si="335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IFERROR(__xludf.DUMMYFUNCTION("IMPORTRANGE(""https://docs.google.com/spreadsheets/d/19vJNZY_5yjcGF2XGBMNZRCAIB0Kwfpjp8YEOfu-bneM/edit?usp=sharing"",""งานกองทุน!S82"")"),1375000)</f>
        <v>1375000</v>
      </c>
      <c r="J827" s="880">
        <f ca="1">IFERROR(__xludf.DUMMYFUNCTION("IMPORTRANGE(""https://docs.google.com/spreadsheets/d/19vJNZY_5yjcGF2XGBMNZRCAIB0Kwfpjp8YEOfu-bneM/edit?usp=sharing"",""งานกองทุน!U82"")"),1375000)</f>
        <v>1375000</v>
      </c>
      <c r="K827" s="881">
        <f t="shared" ca="1" si="335"/>
        <v>100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IFERROR(__xludf.DUMMYFUNCTION("IMPORTRANGE(""https://docs.google.com/spreadsheets/d/19vJNZY_5yjcGF2XGBMNZRCAIB0Kwfpjp8YEOfu-bneM/edit?usp=sharing"",""งานกองทุน!R82"")"),46)</f>
        <v>46</v>
      </c>
      <c r="J828" s="1138">
        <f ca="1">IFERROR(__xludf.DUMMYFUNCTION("IMPORTRANGE(""https://docs.google.com/spreadsheets/d/19vJNZY_5yjcGF2XGBMNZRCAIB0Kwfpjp8YEOfu-bneM/edit?usp=sharing"",""งานกองทุน!T82"")"),46)</f>
        <v>46</v>
      </c>
      <c r="K828" s="1239">
        <f t="shared" ca="1" si="335"/>
        <v>100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2023-04-25T08:10:54Z</dcterms:modified>
</cp:coreProperties>
</file>